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2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ONSTRUTORA\ÁREA DE TRABALHO\OK\"/>
    </mc:Choice>
  </mc:AlternateContent>
  <xr:revisionPtr revIDLastSave="0" documentId="13_ncr:1_{51335A91-28AC-402C-A648-B4D8F6096AC5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ORÇAMENTO PORTÃO" sheetId="37" r:id="rId1"/>
  </sheets>
  <externalReferences>
    <externalReference r:id="rId2"/>
    <externalReference r:id="rId3"/>
  </externalReferences>
  <definedNames>
    <definedName name="CRONO.MaxParc" hidden="1">[1]CRONO!#REF!+[1]CRONO!A1</definedName>
    <definedName name="ORÇAMENTO.BancoRef" localSheetId="0" hidden="1">'ORÇAMENTO PORTÃO'!$F$2</definedName>
    <definedName name="ORÇAMENTO.BancoRef" hidden="1">#REF!</definedName>
    <definedName name="REFERENCIA.Descricao" localSheetId="0" hidden="1">IF(ISNUMBER('ORÇAMENTO PORTÃO'!$AB1),OFFSET(INDIRECT('ORÇAMENTO PORTÃO'!ORÇAMENTO.BancoRef),'ORÇAMENTO PORTÃO'!$AB1-1,3,1),'ORÇAMENTO PORTÃO'!$AB1)</definedName>
    <definedName name="REFERENCIA.Descricao" hidden="1">IF(ISNUMBER(#REF!),OFFSET(INDIRECT(ORÇAMENTO.BancoRef),#REF!-1,3,1),#REF!)</definedName>
    <definedName name="REFERENCIA.Unidade" localSheetId="0" hidden="1">IF(ISNUMBER('ORÇAMENTO PORTÃO'!$AB1),OFFSET(INDIRECT('ORÇAMENTO PORTÃO'!ORÇAMENTO.BancoRef),'ORÇAMENTO PORTÃO'!$AB1-1,4,1),"-")</definedName>
    <definedName name="REFERENCIA.Unidade" hidden="1">IF(ISNUMBER(#REF!),OFFSET(INDIRECT(ORÇAMENTO.BancoRef),#REF!-1,4,1),"-")</definedName>
    <definedName name="TIPOORCAMENTO" hidden="1">IF(VALUE([2]MENU!$O$3)=2,"Licitado","Proposto")</definedName>
    <definedName name="_xlnm.Print_Titles" localSheetId="0">'ORÇAMENTO PORTÃO'!$1:$4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39" i="37" l="1"/>
  <c r="K139" i="37" s="1"/>
  <c r="K138" i="37" s="1"/>
  <c r="G137" i="37"/>
  <c r="J137" i="37"/>
  <c r="J134" i="37"/>
  <c r="K134" i="37" s="1"/>
  <c r="K133" i="37" s="1"/>
  <c r="G132" i="37"/>
  <c r="J132" i="37"/>
  <c r="J104" i="37"/>
  <c r="K104" i="37" s="1"/>
  <c r="G126" i="37"/>
  <c r="J124" i="37"/>
  <c r="K124" i="37" s="1"/>
  <c r="J126" i="37"/>
  <c r="J125" i="37"/>
  <c r="K125" i="37" s="1"/>
  <c r="J123" i="37"/>
  <c r="K123" i="37" s="1"/>
  <c r="G101" i="37"/>
  <c r="J101" i="37"/>
  <c r="G120" i="37"/>
  <c r="J120" i="37"/>
  <c r="J115" i="37"/>
  <c r="K115" i="37" s="1"/>
  <c r="J114" i="37"/>
  <c r="K114" i="37" s="1"/>
  <c r="J119" i="37"/>
  <c r="K119" i="37" s="1"/>
  <c r="J118" i="37"/>
  <c r="K118" i="37" s="1"/>
  <c r="J113" i="37"/>
  <c r="K113" i="37" s="1"/>
  <c r="G110" i="37"/>
  <c r="G109" i="37"/>
  <c r="J111" i="37"/>
  <c r="K111" i="37" s="1"/>
  <c r="J110" i="37"/>
  <c r="J109" i="37"/>
  <c r="J94" i="37"/>
  <c r="K94" i="37" s="1"/>
  <c r="K110" i="37" l="1"/>
  <c r="K137" i="37"/>
  <c r="K136" i="37" s="1"/>
  <c r="K132" i="37"/>
  <c r="K131" i="37" s="1"/>
  <c r="K130" i="37" s="1"/>
  <c r="K126" i="37"/>
  <c r="K122" i="37" s="1"/>
  <c r="K112" i="37"/>
  <c r="K101" i="37"/>
  <c r="K120" i="37"/>
  <c r="K117" i="37" s="1"/>
  <c r="K116" i="37" s="1"/>
  <c r="K109" i="37"/>
  <c r="K108" i="37" s="1"/>
  <c r="G97" i="37" l="1"/>
  <c r="G96" i="37"/>
  <c r="G90" i="37"/>
  <c r="G89" i="37"/>
  <c r="G88" i="37"/>
  <c r="J78" i="37" l="1"/>
  <c r="K78" i="37" s="1"/>
  <c r="J141" i="37"/>
  <c r="K141" i="37" s="1"/>
  <c r="K140" i="37" s="1"/>
  <c r="K135" i="37" s="1"/>
  <c r="J129" i="37"/>
  <c r="K129" i="37" s="1"/>
  <c r="J128" i="37"/>
  <c r="K128" i="37" s="1"/>
  <c r="J106" i="37"/>
  <c r="K106" i="37" s="1"/>
  <c r="K105" i="37" s="1"/>
  <c r="J103" i="37"/>
  <c r="K103" i="37" s="1"/>
  <c r="K102" i="37" s="1"/>
  <c r="J100" i="37"/>
  <c r="K100" i="37" s="1"/>
  <c r="J99" i="37"/>
  <c r="K99" i="37" s="1"/>
  <c r="J83" i="37"/>
  <c r="J82" i="37"/>
  <c r="G80" i="37"/>
  <c r="G82" i="37" s="1"/>
  <c r="G83" i="37" s="1"/>
  <c r="G73" i="37"/>
  <c r="G74" i="37"/>
  <c r="G77" i="37"/>
  <c r="G76" i="37"/>
  <c r="J93" i="37"/>
  <c r="K93" i="37" s="1"/>
  <c r="J92" i="37"/>
  <c r="K92" i="37" s="1"/>
  <c r="J90" i="37"/>
  <c r="K90" i="37" s="1"/>
  <c r="J89" i="37"/>
  <c r="K89" i="37" s="1"/>
  <c r="J88" i="37"/>
  <c r="K88" i="37" s="1"/>
  <c r="J85" i="37"/>
  <c r="K85" i="37" s="1"/>
  <c r="K84" i="37" s="1"/>
  <c r="J80" i="37"/>
  <c r="J77" i="37"/>
  <c r="J76" i="37"/>
  <c r="J97" i="37"/>
  <c r="K97" i="37" s="1"/>
  <c r="J96" i="37"/>
  <c r="K96" i="37" s="1"/>
  <c r="K95" i="37" s="1"/>
  <c r="J74" i="37"/>
  <c r="K74" i="37" s="1"/>
  <c r="J73" i="37"/>
  <c r="G59" i="37"/>
  <c r="J69" i="37"/>
  <c r="K69" i="37" s="1"/>
  <c r="J54" i="37"/>
  <c r="K54" i="37" s="1"/>
  <c r="J67" i="37"/>
  <c r="K67" i="37" s="1"/>
  <c r="K66" i="37" s="1"/>
  <c r="J60" i="37"/>
  <c r="K60" i="37" s="1"/>
  <c r="G53" i="37"/>
  <c r="J53" i="37"/>
  <c r="J50" i="37"/>
  <c r="K50" i="37" s="1"/>
  <c r="G48" i="37"/>
  <c r="K91" i="37" l="1"/>
  <c r="K53" i="37"/>
  <c r="K80" i="37"/>
  <c r="K79" i="37" s="1"/>
  <c r="K87" i="37"/>
  <c r="K98" i="37"/>
  <c r="K127" i="37"/>
  <c r="K121" i="37" s="1"/>
  <c r="K107" i="37"/>
  <c r="K82" i="37"/>
  <c r="K83" i="37"/>
  <c r="K77" i="37"/>
  <c r="K73" i="37"/>
  <c r="K72" i="37" s="1"/>
  <c r="K76" i="37"/>
  <c r="G44" i="37"/>
  <c r="G43" i="37"/>
  <c r="J65" i="37"/>
  <c r="K65" i="37" s="1"/>
  <c r="K64" i="37" s="1"/>
  <c r="J63" i="37"/>
  <c r="K63" i="37" s="1"/>
  <c r="J62" i="37"/>
  <c r="K62" i="37" s="1"/>
  <c r="J59" i="37"/>
  <c r="K59" i="37" s="1"/>
  <c r="K58" i="37" s="1"/>
  <c r="J56" i="37"/>
  <c r="K56" i="37" s="1"/>
  <c r="K55" i="37" s="1"/>
  <c r="J52" i="37"/>
  <c r="K52" i="37" s="1"/>
  <c r="J51" i="37"/>
  <c r="K51" i="37" s="1"/>
  <c r="J48" i="37"/>
  <c r="K48" i="37" s="1"/>
  <c r="K47" i="37" s="1"/>
  <c r="J45" i="37"/>
  <c r="K45" i="37" s="1"/>
  <c r="G39" i="37"/>
  <c r="G37" i="37"/>
  <c r="G31" i="37"/>
  <c r="G30" i="37"/>
  <c r="G23" i="37"/>
  <c r="G21" i="37"/>
  <c r="G20" i="37"/>
  <c r="G18" i="37"/>
  <c r="G16" i="37"/>
  <c r="G15" i="37"/>
  <c r="G14" i="37"/>
  <c r="G13" i="37"/>
  <c r="G11" i="37"/>
  <c r="G8" i="37"/>
  <c r="G7" i="37"/>
  <c r="J70" i="37"/>
  <c r="K70" i="37" s="1"/>
  <c r="K68" i="37" s="1"/>
  <c r="J44" i="37"/>
  <c r="J43" i="37"/>
  <c r="J40" i="37"/>
  <c r="K40" i="37" s="1"/>
  <c r="J39" i="37"/>
  <c r="J38" i="37"/>
  <c r="K38" i="37" s="1"/>
  <c r="J37" i="37"/>
  <c r="K37" i="37" s="1"/>
  <c r="J34" i="37"/>
  <c r="K34" i="37" s="1"/>
  <c r="K33" i="37" s="1"/>
  <c r="K32" i="37" s="1"/>
  <c r="K86" i="37" l="1"/>
  <c r="K75" i="37"/>
  <c r="K71" i="37" s="1"/>
  <c r="K81" i="37"/>
  <c r="K44" i="37"/>
  <c r="K49" i="37"/>
  <c r="K61" i="37"/>
  <c r="K57" i="37" s="1"/>
  <c r="K43" i="37"/>
  <c r="K42" i="37" s="1"/>
  <c r="K39" i="37"/>
  <c r="K36" i="37" s="1"/>
  <c r="K35" i="37" s="1"/>
  <c r="G19" i="37"/>
  <c r="J31" i="37"/>
  <c r="J30" i="37"/>
  <c r="J28" i="37"/>
  <c r="K28" i="37" s="1"/>
  <c r="J23" i="37"/>
  <c r="J21" i="37"/>
  <c r="K21" i="37" s="1"/>
  <c r="J20" i="37"/>
  <c r="J19" i="37"/>
  <c r="J18" i="37"/>
  <c r="J27" i="37"/>
  <c r="K27" i="37" s="1"/>
  <c r="J26" i="37"/>
  <c r="K26" i="37" s="1"/>
  <c r="J25" i="37"/>
  <c r="K25" i="37" s="1"/>
  <c r="J16" i="37"/>
  <c r="J15" i="37"/>
  <c r="J14" i="37"/>
  <c r="J13" i="37"/>
  <c r="J11" i="37"/>
  <c r="J9" i="37"/>
  <c r="K41" i="37" l="1"/>
  <c r="K46" i="37"/>
  <c r="K31" i="37"/>
  <c r="K30" i="37"/>
  <c r="K29" i="37" s="1"/>
  <c r="K23" i="37"/>
  <c r="K22" i="37" s="1"/>
  <c r="K20" i="37"/>
  <c r="K19" i="37"/>
  <c r="K18" i="37"/>
  <c r="K16" i="37"/>
  <c r="K15" i="37"/>
  <c r="K14" i="37"/>
  <c r="G9" i="37"/>
  <c r="K9" i="37" s="1"/>
  <c r="K13" i="37"/>
  <c r="K11" i="37"/>
  <c r="K10" i="37" s="1"/>
  <c r="K24" i="37"/>
  <c r="J8" i="37"/>
  <c r="K8" i="37" s="1"/>
  <c r="K17" i="37" l="1"/>
  <c r="K12" i="37"/>
  <c r="J7" i="37"/>
  <c r="K7" i="37" l="1"/>
  <c r="K6" i="37" l="1"/>
  <c r="K5" i="37" s="1"/>
  <c r="K142" i="37" s="1"/>
</calcChain>
</file>

<file path=xl/sharedStrings.xml><?xml version="1.0" encoding="utf-8"?>
<sst xmlns="http://schemas.openxmlformats.org/spreadsheetml/2006/main" count="461" uniqueCount="242">
  <si>
    <t>BDI (%)</t>
  </si>
  <si>
    <t>DESCRIÇÃO</t>
  </si>
  <si>
    <t>ITEM</t>
  </si>
  <si>
    <t>UNIDADE</t>
  </si>
  <si>
    <t>QUANTIDADE</t>
  </si>
  <si>
    <t>PREÇO TOTAL (R$)</t>
  </si>
  <si>
    <t>PREÇO UNITÁRIO (C/ BDI) (R$)</t>
  </si>
  <si>
    <t>1.</t>
  </si>
  <si>
    <t>FONTE</t>
  </si>
  <si>
    <t>CÓDIGO</t>
  </si>
  <si>
    <t>VALOR TOTAL GERAL</t>
  </si>
  <si>
    <t>PREÇO UNITÁRIO (R$)</t>
  </si>
  <si>
    <t>DEMOLIÇÃO DE ALVENARIA DE BLOCO FURADO, DE FORMA MANUAL, SEM REAPROVEITAMENTO. AF_12/2017</t>
  </si>
  <si>
    <t>M3</t>
  </si>
  <si>
    <t>SINAPI</t>
  </si>
  <si>
    <t>DEMOLIÇÃO E RETIRADAS</t>
  </si>
  <si>
    <t>CARGA, MANOBRA E DESCARGA DE ENTULHO EM CAMINHÃO BASCULANTE 6 M³ - CARGA COM ESCAVADEIRA HIDRÁULICA  (CAÇAMBA DE 0,80 M³ / 111 HP) E DESCARGA LIVRE (UNIDADE: M3). AF_07/2020</t>
  </si>
  <si>
    <t>DEMOLIÇÃO DE PILARES E VIGAS EM CONCRETO ARMADO, DE FORMA MANUAL, SEM REAPROVEITAMENTO. AF_12/2017</t>
  </si>
  <si>
    <t>1.1.</t>
  </si>
  <si>
    <t>1.2.</t>
  </si>
  <si>
    <t>1.3.</t>
  </si>
  <si>
    <t>2.</t>
  </si>
  <si>
    <t>ESTACA BROCA DE CONCRETO, DIÂMETRO DE 20CM, ESCAVAÇÃO MANUAL COM TRADO CONCHA, COM ARMADURA DE ARRANQUE. AF_05/2020</t>
  </si>
  <si>
    <t>M</t>
  </si>
  <si>
    <t>ESTACA</t>
  </si>
  <si>
    <t>2.1.</t>
  </si>
  <si>
    <t>3.</t>
  </si>
  <si>
    <t>VIGA BALDRAME</t>
  </si>
  <si>
    <t>3.1.</t>
  </si>
  <si>
    <t>ARMAÇÃO DE BLOCO, VIGA BALDRAME E SAPATA UTILIZANDO AÇO CA-60 DE 5 MM - MONTAGEM. AF_06/2017</t>
  </si>
  <si>
    <t>KG</t>
  </si>
  <si>
    <t>ARMAÇÃO DE BLOCO, VIGA BALDRAME OU SAPATA UTILIZANDO AÇO CA-50 DE 8 MM - MONTAGEM. AF_06/2017</t>
  </si>
  <si>
    <t>FABRICAÇÃO, MONTAGEM E DESMONTAGEM DE FÔRMA PARA VIGA BALDRAME, EM MADEIRA SERRADA, E=25 MM, 1 UTILIZAÇÃO. AF_06/2017</t>
  </si>
  <si>
    <t>M2</t>
  </si>
  <si>
    <t>CONCRETAGEM DE BLOCOS DE COROAMENTO E VIGAS BALDRAME, FCK 30 MPA, COM USO DE JERICA  LANÇAMENTO, ADENSAMENTO E ACABAMENTO. AF_06/2017</t>
  </si>
  <si>
    <t>4.</t>
  </si>
  <si>
    <t>PILAR</t>
  </si>
  <si>
    <t>ARMAÇÃO DE PILAR OU VIGA DE UMA ESTRUTURA CONVENCIONAL DE CONCRETO ARMADO EM UMA EDIFICAÇÃO TÉRREA OU SOBRADO UTILIZANDO AÇO CA-60 DE 5,0 MM - MONTAGEM. AF_12/2015</t>
  </si>
  <si>
    <t>ARMAÇÃO DE PILAR OU VIGA DE UMA ESTRUTURA CONVENCIONAL DE CONCRETO ARMADO EM UMA EDIFICAÇÃO TÉRREA OU SOBRADO UTILIZANDO AÇO CA-50 DE 8,0 MM - MONTAGEM. AF_12/2015</t>
  </si>
  <si>
    <t>ARMAÇÃO DE PILAR OU VIGA DE UMA ESTRUTURA CONVENCIONAL DE CONCRETO ARMADO EM UMA EDIFICAÇÃO TÉRREA OU SOBRADO UTILIZANDO AÇO CA-50 DE 10,0 MM - MONTAGEM. AF_12/2015</t>
  </si>
  <si>
    <t>FABRICAÇÃO DE FÔRMA PARA PILARES E ESTRUTURAS SIMILARES, EM MADEIRA SERRADA, E=25 MM. AF_09/2020</t>
  </si>
  <si>
    <t>FABRICAÇÃO DE FÔRMA PARA VIGAS, COM MADEIRA SERRADA, E = 25 MM. AF_09/2020</t>
  </si>
  <si>
    <t>CONCRETAGEM DE PILARES, FCK = 25 MPA,  COM USO DE BALDES EM EDIFICAÇÃO COM SEÇÃO MÉDIA DE PILARES MENOR OU IGUAL A 0,25 M² - LANÇAMENTO, ADENSAMENTO E ACABAMENTO. AF_12/2015</t>
  </si>
  <si>
    <t>5.</t>
  </si>
  <si>
    <t>ALVENARIA</t>
  </si>
  <si>
    <t>4.1.</t>
  </si>
  <si>
    <t>5.1.</t>
  </si>
  <si>
    <t>VIGA SUPERIOR</t>
  </si>
  <si>
    <t>6.</t>
  </si>
  <si>
    <t>CONCRETAGEM DE VIGAS E LAJES, FCK=20 MPA, PARA QUALQUER TIPO DE LAJE COM BALDES EM EDIFICAÇÃO TÉRREA, COM ÁREA MÉDIA DE LAJES MENOR OU IGUAL A 20 M² - LANÇAMENTO, ADENSAMENTO E ACABAMENTO. AF_12/2015</t>
  </si>
  <si>
    <t>6.1.</t>
  </si>
  <si>
    <t>6.2.</t>
  </si>
  <si>
    <t>6.3.</t>
  </si>
  <si>
    <t>6.4.</t>
  </si>
  <si>
    <t>REVESTIMENTO EM ARGAMASSA</t>
  </si>
  <si>
    <t>7.</t>
  </si>
  <si>
    <t>CHAPISCO APLICADO EM ALVENARIAS E ESTRUTURAS DE CONCRETO INTERNAS, COM COLHER DE PEDREIRO.  ARGAMASSA TRAÇO 1:3 COM PREPARO EM BETONEIRA 400L. AF_06/2014</t>
  </si>
  <si>
    <t>7.1.</t>
  </si>
  <si>
    <t>7.2.</t>
  </si>
  <si>
    <t>(COMPOSIÇÃO REPRESENTATIVA) DO SERVIÇO DE EMBOÇO/MASSA ÚNICA, APLICADO MANUALMENTE, TRAÇO 1:2:8, EM BETONEIRA DE 400L, PAREDES INTERNAS, COM EXECUÇÃO DE TALISCAS, EDIFICAÇÃO HABITACIONAL UNIFAMILIAR (CASAS) E EDIFICAÇÃO PÚBLICA PADRÃO. AF_12/2014</t>
  </si>
  <si>
    <t>8.</t>
  </si>
  <si>
    <t>8.1.</t>
  </si>
  <si>
    <t>8.2.</t>
  </si>
  <si>
    <t>MURO DE DIVISA</t>
  </si>
  <si>
    <t>1.1.1.</t>
  </si>
  <si>
    <t>1.1.2.</t>
  </si>
  <si>
    <t>1.1.3.</t>
  </si>
  <si>
    <t>1.2.1.</t>
  </si>
  <si>
    <t>1.3.1.</t>
  </si>
  <si>
    <t>1.3.2.</t>
  </si>
  <si>
    <t>1.3.3.</t>
  </si>
  <si>
    <t>1.3.4.</t>
  </si>
  <si>
    <t>1.4.</t>
  </si>
  <si>
    <t>1.4.1.</t>
  </si>
  <si>
    <t>1.4.2.</t>
  </si>
  <si>
    <t>1.4.3.</t>
  </si>
  <si>
    <t>1.4.4.</t>
  </si>
  <si>
    <t>PLANILHA DE SERVIÇOS - PRÉ ESCOLA</t>
  </si>
  <si>
    <t>1.5.</t>
  </si>
  <si>
    <t>1.5.1.</t>
  </si>
  <si>
    <t>1.6.</t>
  </si>
  <si>
    <t>1.6.1.</t>
  </si>
  <si>
    <t>1.6.2.</t>
  </si>
  <si>
    <t>1.6.3.</t>
  </si>
  <si>
    <t>1.6.4.</t>
  </si>
  <si>
    <t>1.7.</t>
  </si>
  <si>
    <t>1.7.1.</t>
  </si>
  <si>
    <t>1.7.2.</t>
  </si>
  <si>
    <t>VIDROS</t>
  </si>
  <si>
    <t>JANELAS</t>
  </si>
  <si>
    <t>INSTALAÇÃO DE VIDRO LISO INCOLOR, E = 4 MM, EM ESQUADRIA DE ALUMÍNIO OU PVC, FIXADO COM BAGUETE. AF_01/2021_P</t>
  </si>
  <si>
    <t>2.1.1.</t>
  </si>
  <si>
    <t>CALÇADA</t>
  </si>
  <si>
    <t>DEMOLIÇÃO DE LAJES, DE FORMA MANUAL, SEM REAPROVEITAMENTO. AF_12/2017</t>
  </si>
  <si>
    <t>3.1.1.</t>
  </si>
  <si>
    <t>COMPACTAÇÃO MECÂNICA DE SOLO PARA EXECUÇÃO DE RADIER, PISO DE CONCRETO OU LAJE SOBRE SOLO, COM COMPACTADOR DE SOLOS TIPO PLACA VIBRATÓRIA. AF_09/2021</t>
  </si>
  <si>
    <t>3.1.2.</t>
  </si>
  <si>
    <t>LASTRO COM MATERIAL GRANULAR (PEDRA BRITADA N.1 E PEDRA BRITADA N.2), APLICADO EM PISOS OU LAJES SOBRE SOLO, ESPESSURA DE *10 CM*. AF_07/2019</t>
  </si>
  <si>
    <t>3.1.3.</t>
  </si>
  <si>
    <t>EXECUÇÃO DE PASSEIO (CALÇADA) OU PISO DE CONCRETO COM CONCRETO MOLDADO IN LOCO, FEITO EM OBRA, ACABAMENTO CONVENCIONAL, ESPESSURA 6 CM, ARMADO. AF_07/2016</t>
  </si>
  <si>
    <t>3.1.4.</t>
  </si>
  <si>
    <t>FORRO</t>
  </si>
  <si>
    <t>BEIRAL</t>
  </si>
  <si>
    <t>4.1.1.</t>
  </si>
  <si>
    <t>FORRO DE PVC, LISO, PARA AMBIENTES COMERCIAIS, INCLUSIVE ESTRUTURA DE FIXAÇÃO. AF_05/2017_P</t>
  </si>
  <si>
    <t>ACABAMENTOS PARA FORRO (RODA-FORRO EM PERFIL METÁLICO E PLÁSTICO). AF_05/2017</t>
  </si>
  <si>
    <t>4.1.2.</t>
  </si>
  <si>
    <t>SINAPI-I</t>
  </si>
  <si>
    <t>4.1.3.</t>
  </si>
  <si>
    <t>TABUA DE MADEIRA DE LEI, *2,5  X 15* CM (1” X 6”) NAO APARELHADA, (TABEIRA-P/TELHADO)</t>
  </si>
  <si>
    <t>SALA 14</t>
  </si>
  <si>
    <t>5.1.1.</t>
  </si>
  <si>
    <t>REVESTIMENTO CERÂMICO PARA PISO COM PLACAS TIPO ESMALTADA EXTRA DE DIMENSÕES 60X60 CM APLICADA EM AMBIENTES DE ÁREA MAIOR QUE 10 M2. AF_06/2014</t>
  </si>
  <si>
    <t>PISO</t>
  </si>
  <si>
    <t>5.2.</t>
  </si>
  <si>
    <t>5.2.1.</t>
  </si>
  <si>
    <t>5.2.2.</t>
  </si>
  <si>
    <t>(COMPOSIÇÃO REPRESENTATIVA) DO SERVIÇO DE EMBOÇO/MASSA ÚNICA, TRAÇO 1:2:8, PREPARO MECÂNICO, COM BETONEIRA DE 400L, EM PAREDES DE AMBIENTES INTERNOS, COM EXECUÇÃO DE TALISCAS, PARA EDIFICAÇÃO HABITACIONAL MULTIFAMILIAR (PRÉDIO). AF_11/2014</t>
  </si>
  <si>
    <t>REPARO TRINCAS DA PAREDE</t>
  </si>
  <si>
    <t>5.3.</t>
  </si>
  <si>
    <t>5.3.1.</t>
  </si>
  <si>
    <t>5.2.3.</t>
  </si>
  <si>
    <t>5.2.4.</t>
  </si>
  <si>
    <t>RODAPÉ CERÂMICO DE 7CM DE ALTURA COM PLACAS TIPO ESMALTADA EXTRA DE DIMENSÕES 60X60CM. AF_06/2014</t>
  </si>
  <si>
    <t>SALA 16</t>
  </si>
  <si>
    <t>6.1.1.</t>
  </si>
  <si>
    <t>(COMPOSIÇÃO REPRESENTATIVA) DO SERVIÇO DE ALVENARIA DE VEDAÇÃO DE BLOCOS VAZADOS DE CERÂMICA DE 9X19X19CM (ESPESSURA 9CM), PARA EDIFICAÇÃO HABITACIONAL UNIFAMILIAR (CASA) E EDIFICAÇÃO PÚBLICA PADRÃO. AF_11/2014</t>
  </si>
  <si>
    <t>DEMOLIÇÃO DE ALVENARIA DE BLOCO FURADO, DE FORMA MANUAL, COM REAPROVEITAMENTO. AF_12/2017</t>
  </si>
  <si>
    <t>VERGA E CONTRAVERGA</t>
  </si>
  <si>
    <t>CONTRAVERGA MOLDADA IN LOCO EM CONCRETO PARA VÃOS DE MAIS DE 1,5 M DE COMPRIMENTO. AF_03/2016</t>
  </si>
  <si>
    <t>VERGA MOLDADA IN LOCO EM CONCRETO PARA PORTAS COM MAIS DE 1,5 M DE VÃO. AF_03/2016</t>
  </si>
  <si>
    <t>6.2.1.</t>
  </si>
  <si>
    <t>6.2.2.</t>
  </si>
  <si>
    <t>SOLEIRA</t>
  </si>
  <si>
    <t>6.3.1.</t>
  </si>
  <si>
    <t>SOLEIRA EM GRANITO, LARGURA 15 CM, ESPESSURA 2,0 CM. AF_09/2020</t>
  </si>
  <si>
    <t>6.1.2.</t>
  </si>
  <si>
    <t>JANELA</t>
  </si>
  <si>
    <t>6.4.1.</t>
  </si>
  <si>
    <t>PORTA</t>
  </si>
  <si>
    <t>6.5.</t>
  </si>
  <si>
    <t>6.5.1.</t>
  </si>
  <si>
    <t>KIT DE PORTA DE MADEIRA PARA PINTURA, SEMI-OCA (LEVE OU MÉDIA), PADRÃO MÉDIO, 80X210CM, ESPESSURA DE 3,5CM, ITENS INCLUSOS: DOBRADIÇAS, MONTAGEM E INSTALAÇÃO DO BATENTE, FECHADURA COM EXECUÇÃO DO FURO - FORNECIMENTO E INSTALAÇÃO. AF_12/2019</t>
  </si>
  <si>
    <t>UN</t>
  </si>
  <si>
    <t>PINTURA TINTA DE ACABAMENTO (PIGMENTADA) ESMALTE SINTÉTICO FOSCO EM MADEIRA, 3 DEMÃOS. AF_01/2021</t>
  </si>
  <si>
    <t>6.5.2.</t>
  </si>
  <si>
    <t>COTAÇÃO</t>
  </si>
  <si>
    <t>COT. 01</t>
  </si>
  <si>
    <t>REMOÇÃO DE PORTAS, DE FORMA MANUAL, SEM REAPROVEITAMENTO. AF_12/2017</t>
  </si>
  <si>
    <t>JANELA DE CORRER 4 FOLHAS COM VIDRO TEMPERADO INCOLOR 8 MM - FORNECIMENTO E INSTALAÇÃO</t>
  </si>
  <si>
    <t>COZINHA</t>
  </si>
  <si>
    <t>REMOÇÃO DE TAPUME/ CHAPAS METÁLICAS E DE MADEIRA, DE FORMA MANUAL, SEM REAPROVEITAMENTO. AF_12/2017</t>
  </si>
  <si>
    <t>COT. 02</t>
  </si>
  <si>
    <t>PORTA DE CORRER 4 FOLHAS COM VIDRO TEMPERADO 8 MM FUMÊ - FORNECIMENTO E INSTALAÇÃO</t>
  </si>
  <si>
    <t>W.C. 18 E 19</t>
  </si>
  <si>
    <t>7.1.1.</t>
  </si>
  <si>
    <t>7.1.2.</t>
  </si>
  <si>
    <t>7.2.1.</t>
  </si>
  <si>
    <t>7.2.2.</t>
  </si>
  <si>
    <t>7.3.</t>
  </si>
  <si>
    <t>7.3.1.</t>
  </si>
  <si>
    <t>7.4.</t>
  </si>
  <si>
    <t>7.4.1.</t>
  </si>
  <si>
    <t>7.4.2.</t>
  </si>
  <si>
    <t>7.5.</t>
  </si>
  <si>
    <t>7.5.1.</t>
  </si>
  <si>
    <t>7.2.3.</t>
  </si>
  <si>
    <t>DEMOLIÇÃO DE REVESTIMENTO CERÂMICO, DE FORMA MANUAL, SEM REAPROVEITAMENTO. AF_12/2017</t>
  </si>
  <si>
    <t>DEMOLIÇÃO DE ARGAMASSAS, DE FORMA MANUAL, SEM REAPROVEITAMENTO. AF_12/2017</t>
  </si>
  <si>
    <t>8.1.1.</t>
  </si>
  <si>
    <t>8.1.2.</t>
  </si>
  <si>
    <t>PONTO DE CONSUMO TERMINAL DE ÁGUA FRIA (SUBRAMAL) COM TUBULAÇÃO DE PVC, DN 25 MM, INSTALADO EM RAMAL DE ÁGUA, INCLUSOS RASGO E CHUMBAMENTO EM ALVENARIA. AF_12/2014</t>
  </si>
  <si>
    <t>(COMPOSIÇÃO REPRESENTATIVA) DO SERVIÇO DE INSTALAÇÃO DE TUBO DE PVC, SÉRIE NORMAL, ESGOTO PREDIAL, DN 40 MM (INSTALADO EM RAMAL DE DESCARGA OU RAMAL DE ESGOTO SANITÁRIO), INCLUSIVE CONEXÕES, CORTES E FIXAÇÕES, PARA PRÉDIOS. AF_10/2015</t>
  </si>
  <si>
    <t>INSTALAÇÕES HIDROSSANITÁRIAS</t>
  </si>
  <si>
    <t>8.1.3.</t>
  </si>
  <si>
    <t>8.2.1.</t>
  </si>
  <si>
    <t>8.2.2.</t>
  </si>
  <si>
    <t>8.3.</t>
  </si>
  <si>
    <t>8.3.1.</t>
  </si>
  <si>
    <t>8.3.2.</t>
  </si>
  <si>
    <t>8.4.</t>
  </si>
  <si>
    <t>KIT DE PORTA DE MADEIRA PARA VERNIZ, SEMI-OCA (LEVE OU MÉDIA), PADRÃO MÉDIO, 60X210CM, ESPESSURA DE 3,5CM, ITENS INCLUSOS: DOBRADIÇAS, MONTAGEM E INSTALAÇÃO DE BATENTE, FECHADURA COM EXECUÇÃO DO FURO - FORNECIMENTO E INSTALAÇÃO. AF_12/2019</t>
  </si>
  <si>
    <t>KIT DE PORTA DE MADEIRA PARA VERNIZ, SEMI-OCA (LEVE OU MÉDIA), PADRÃO MÉDIO, 70X210CM, ESPESSURA DE 3,5CM, ITENS INCLUSOS: DOBRADIÇAS, MONTAGEM E INSTALAÇÃO DE BATENTE, FECHADURA COM EXECUÇÃO DO FURO - FORNECIMENTO E INSTALAÇÃO. AF_12/2019</t>
  </si>
  <si>
    <t>8.4.1.</t>
  </si>
  <si>
    <t>8.4.2.</t>
  </si>
  <si>
    <t>8.5.</t>
  </si>
  <si>
    <t>LOUÇAS E METAIS</t>
  </si>
  <si>
    <t>8.5.1.</t>
  </si>
  <si>
    <t>BANCADA GRANITO CINZA,  50 X 60 CM, INCL. CUBA DE EMBUTIR OVAL LOUÇA BRANCA 35 X 50 CM, VÁLVULA METAL CROMADO, SIFÃO FLEXÍVEL PVC, ENGATE 30 CM FLEXÍVEL PLÁSTICO E TORNEIRA CROMADA DE MESA, PADRÃO POPULAR - FORNEC. E INSTALAÇÃO. AF_01/2020</t>
  </si>
  <si>
    <t>8.6.</t>
  </si>
  <si>
    <t>PINTURA</t>
  </si>
  <si>
    <t>8.6.1.</t>
  </si>
  <si>
    <t>PINTURA COM TINTA EPÓXI, APLICAÇÃO MANUAL, 2 DEMÃOS, INCLUSO PRIMER EPÓXI. AF_05/2021</t>
  </si>
  <si>
    <t>8.2.3.</t>
  </si>
  <si>
    <t>COMPOSIÇÃO</t>
  </si>
  <si>
    <t>COMP. 01</t>
  </si>
  <si>
    <t xml:space="preserve">SERVIÇO DE RETIRADA E INSTALAÇÃO DE CAIXA DE DESCARGA PVC 9L </t>
  </si>
  <si>
    <t>9.</t>
  </si>
  <si>
    <t>SALA 23</t>
  </si>
  <si>
    <t>9.1.</t>
  </si>
  <si>
    <t>9.1.1.</t>
  </si>
  <si>
    <t>9.1.2.</t>
  </si>
  <si>
    <t>9.1.3.</t>
  </si>
  <si>
    <t>9.2.</t>
  </si>
  <si>
    <t>9.2.1.</t>
  </si>
  <si>
    <t>9.2.2.</t>
  </si>
  <si>
    <t>10.</t>
  </si>
  <si>
    <t>DESPENSA</t>
  </si>
  <si>
    <t>10.1.</t>
  </si>
  <si>
    <t>10.1.1.</t>
  </si>
  <si>
    <t>10.1.2.</t>
  </si>
  <si>
    <t>9.2.3.</t>
  </si>
  <si>
    <t>10.1.3.</t>
  </si>
  <si>
    <t>8.4.3.</t>
  </si>
  <si>
    <t>11.</t>
  </si>
  <si>
    <t>11.1.</t>
  </si>
  <si>
    <t>W.C. 6</t>
  </si>
  <si>
    <t>11.1.1.</t>
  </si>
  <si>
    <t>11.1.2.</t>
  </si>
  <si>
    <t>11.1.3.</t>
  </si>
  <si>
    <t>11.1.4.</t>
  </si>
  <si>
    <t>ACESSÓRIOS HIDROSSANITÁRIOS</t>
  </si>
  <si>
    <t>11.2.</t>
  </si>
  <si>
    <t>11.2.1.</t>
  </si>
  <si>
    <t>11.2.2.</t>
  </si>
  <si>
    <t>ASSENTO SANITÁRIO CONVENCIONAL - FORNECIMENTO E INSTALACAO. AF_01/2020</t>
  </si>
  <si>
    <t>8.5.2.</t>
  </si>
  <si>
    <t>W.C. PROFESSORES</t>
  </si>
  <si>
    <t>12.</t>
  </si>
  <si>
    <t>12.1.</t>
  </si>
  <si>
    <t>12.1.1.</t>
  </si>
  <si>
    <t>12.2.</t>
  </si>
  <si>
    <t>12.2.1.</t>
  </si>
  <si>
    <t>13.</t>
  </si>
  <si>
    <t>13.1.</t>
  </si>
  <si>
    <t>SALA MULTIUSO 12</t>
  </si>
  <si>
    <t>13.2.</t>
  </si>
  <si>
    <t>13.2.1.</t>
  </si>
  <si>
    <t>13.3.</t>
  </si>
  <si>
    <t>13.3.1.</t>
  </si>
  <si>
    <t>COT. 03</t>
  </si>
  <si>
    <t>PORTA DE CORRER 1 FOLHA VIDRO TEMPERADO INCOLOR 10 MM - FORNECIMENTO E INSTALAÇÃO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</si>
</sst>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_-* #,##0.00_-;\-* #,##0.00_-;_-* \-??_-;_-@_-"/>
  </numFmts>
  <fonts count="13" x14ac:knownFonts="1">
    <font>
      <sz val="10"/>
      <color rgb="FF000000"/>
      <name val="Times New Roman"/>
      <charset val="204"/>
    </font>
    <font>
      <sz val="10"/>
      <color rgb="FF000000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8"/>
      <name val="Times New Roman"/>
      <family val="1"/>
    </font>
    <font>
      <b/>
      <sz val="10"/>
      <color rgb="FF000000"/>
      <name val="Times New Roman"/>
      <family val="1"/>
    </font>
    <font>
      <b/>
      <sz val="11"/>
      <color rgb="FF000000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b/>
      <sz val="9"/>
      <name val="Times New Roman"/>
      <family val="1"/>
    </font>
    <font>
      <sz val="11"/>
      <color rgb="FF000000"/>
      <name val="Times New Roman"/>
      <family val="1"/>
    </font>
    <font>
      <sz val="11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959595"/>
      </patternFill>
    </fill>
    <fill>
      <patternFill patternType="solid">
        <fgColor rgb="FFBFBFBF"/>
      </patternFill>
    </fill>
    <fill>
      <patternFill patternType="solid">
        <fgColor indexed="43"/>
        <bgColor indexed="26"/>
      </patternFill>
    </fill>
    <fill>
      <patternFill patternType="solid">
        <fgColor theme="0" tint="-0.34998626667073579"/>
        <bgColor indexed="65"/>
      </patternFill>
    </fill>
    <fill>
      <patternFill patternType="solid">
        <fgColor theme="0" tint="-0.34998626667073579"/>
        <bgColor indexed="26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7" fillId="0" borderId="0"/>
    <xf numFmtId="164" fontId="8" fillId="0" borderId="0" applyFill="0" applyBorder="0" applyAlignment="0" applyProtection="0"/>
    <xf numFmtId="9" fontId="8" fillId="0" borderId="0" applyFill="0" applyBorder="0" applyAlignment="0" applyProtection="0"/>
  </cellStyleXfs>
  <cellXfs count="54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9" xfId="0" applyFill="1" applyBorder="1" applyAlignment="1">
      <alignment horizontal="left" vertical="top"/>
    </xf>
    <xf numFmtId="0" fontId="6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10" fontId="0" fillId="0" borderId="0" xfId="2" applyNumberFormat="1" applyFont="1" applyFill="1" applyBorder="1" applyAlignment="1">
      <alignment horizontal="center" vertical="center"/>
    </xf>
    <xf numFmtId="10" fontId="0" fillId="0" borderId="9" xfId="2" applyNumberFormat="1" applyFont="1" applyFill="1" applyBorder="1" applyAlignment="1">
      <alignment horizontal="center" vertical="center"/>
    </xf>
    <xf numFmtId="44" fontId="0" fillId="0" borderId="0" xfId="1" applyFont="1" applyFill="1" applyBorder="1" applyAlignment="1">
      <alignment horizontal="left" vertical="center"/>
    </xf>
    <xf numFmtId="44" fontId="0" fillId="0" borderId="9" xfId="1" applyFont="1" applyFill="1" applyBorder="1" applyAlignment="1">
      <alignment horizontal="left" vertical="center"/>
    </xf>
    <xf numFmtId="44" fontId="0" fillId="0" borderId="6" xfId="1" applyFont="1" applyFill="1" applyBorder="1" applyAlignment="1">
      <alignment horizontal="left" vertical="center"/>
    </xf>
    <xf numFmtId="1" fontId="1" fillId="0" borderId="1" xfId="0" applyNumberFormat="1" applyFont="1" applyFill="1" applyBorder="1" applyAlignment="1">
      <alignment horizontal="center" vertical="center" shrinkToFit="1"/>
    </xf>
    <xf numFmtId="2" fontId="1" fillId="0" borderId="1" xfId="0" applyNumberFormat="1" applyFont="1" applyFill="1" applyBorder="1" applyAlignment="1">
      <alignment horizontal="center" vertical="center" shrinkToFit="1"/>
    </xf>
    <xf numFmtId="0" fontId="3" fillId="3" borderId="3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center" vertical="center" wrapText="1"/>
    </xf>
    <xf numFmtId="44" fontId="5" fillId="3" borderId="4" xfId="1" applyFont="1" applyFill="1" applyBorder="1" applyAlignment="1">
      <alignment horizontal="left" vertical="center" shrinkToFit="1"/>
    </xf>
    <xf numFmtId="44" fontId="2" fillId="0" borderId="1" xfId="1" applyFont="1" applyFill="1" applyBorder="1" applyAlignment="1">
      <alignment horizontal="left" vertical="center" shrinkToFit="1"/>
    </xf>
    <xf numFmtId="44" fontId="2" fillId="0" borderId="4" xfId="1" applyFont="1" applyFill="1" applyBorder="1" applyAlignment="1">
      <alignment horizontal="left" vertical="center" shrinkToFit="1"/>
    </xf>
    <xf numFmtId="0" fontId="1" fillId="0" borderId="0" xfId="0" applyFont="1" applyFill="1" applyBorder="1" applyAlignment="1">
      <alignment horizontal="center" vertical="center"/>
    </xf>
    <xf numFmtId="44" fontId="3" fillId="2" borderId="15" xfId="0" applyNumberFormat="1" applyFont="1" applyFill="1" applyBorder="1" applyAlignment="1">
      <alignment vertical="top" wrapText="1"/>
    </xf>
    <xf numFmtId="0" fontId="1" fillId="4" borderId="1" xfId="0" applyFont="1" applyFill="1" applyBorder="1" applyAlignment="1" applyProtection="1">
      <alignment horizontal="left" vertical="center" wrapText="1"/>
      <protection locked="0"/>
    </xf>
    <xf numFmtId="0" fontId="3" fillId="3" borderId="1" xfId="0" applyFont="1" applyFill="1" applyBorder="1" applyAlignment="1">
      <alignment vertical="top" wrapText="1"/>
    </xf>
    <xf numFmtId="0" fontId="10" fillId="0" borderId="10" xfId="0" applyFont="1" applyFill="1" applyBorder="1" applyAlignment="1">
      <alignment horizontal="left" vertical="center" wrapText="1"/>
    </xf>
    <xf numFmtId="0" fontId="10" fillId="0" borderId="11" xfId="0" applyFont="1" applyFill="1" applyBorder="1" applyAlignment="1">
      <alignment horizontal="center" vertical="center" wrapText="1"/>
    </xf>
    <xf numFmtId="44" fontId="10" fillId="0" borderId="11" xfId="1" applyFont="1" applyFill="1" applyBorder="1" applyAlignment="1">
      <alignment horizontal="center" vertical="center" wrapText="1"/>
    </xf>
    <xf numFmtId="10" fontId="10" fillId="0" borderId="11" xfId="2" applyNumberFormat="1" applyFont="1" applyFill="1" applyBorder="1" applyAlignment="1">
      <alignment horizontal="center" vertical="center" wrapText="1"/>
    </xf>
    <xf numFmtId="44" fontId="10" fillId="0" borderId="12" xfId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10" fontId="2" fillId="0" borderId="1" xfId="2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right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left" vertical="center" wrapText="1"/>
    </xf>
    <xf numFmtId="1" fontId="1" fillId="0" borderId="17" xfId="0" applyNumberFormat="1" applyFont="1" applyFill="1" applyBorder="1" applyAlignment="1">
      <alignment horizontal="center" vertical="center" shrinkToFit="1"/>
    </xf>
    <xf numFmtId="2" fontId="1" fillId="0" borderId="17" xfId="0" applyNumberFormat="1" applyFont="1" applyFill="1" applyBorder="1" applyAlignment="1">
      <alignment horizontal="center" vertical="center" shrinkToFit="1"/>
    </xf>
    <xf numFmtId="44" fontId="2" fillId="0" borderId="17" xfId="1" applyFont="1" applyFill="1" applyBorder="1" applyAlignment="1">
      <alignment horizontal="left" vertical="center" shrinkToFit="1"/>
    </xf>
    <xf numFmtId="44" fontId="12" fillId="0" borderId="0" xfId="0" applyNumberFormat="1" applyFont="1" applyFill="1" applyBorder="1" applyAlignment="1">
      <alignment horizontal="right" vertical="center"/>
    </xf>
    <xf numFmtId="0" fontId="3" fillId="5" borderId="3" xfId="0" applyFont="1" applyFill="1" applyBorder="1" applyAlignment="1">
      <alignment horizontal="left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 applyProtection="1">
      <alignment horizontal="left" vertical="center" wrapText="1"/>
      <protection locked="0"/>
    </xf>
    <xf numFmtId="0" fontId="3" fillId="5" borderId="1" xfId="0" applyFont="1" applyFill="1" applyBorder="1" applyAlignment="1">
      <alignment vertical="top" wrapText="1"/>
    </xf>
    <xf numFmtId="44" fontId="5" fillId="5" borderId="4" xfId="1" applyFont="1" applyFill="1" applyBorder="1" applyAlignment="1">
      <alignment horizontal="left" vertical="center" shrinkToFit="1"/>
    </xf>
    <xf numFmtId="44" fontId="0" fillId="0" borderId="0" xfId="0" applyNumberFormat="1" applyFill="1" applyBorder="1" applyAlignment="1">
      <alignment horizontal="left" vertical="top"/>
    </xf>
    <xf numFmtId="0" fontId="5" fillId="5" borderId="1" xfId="0" applyFont="1" applyFill="1" applyBorder="1" applyAlignment="1">
      <alignment horizontal="left" vertical="center" wrapText="1"/>
    </xf>
    <xf numFmtId="0" fontId="1" fillId="0" borderId="7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16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right" vertical="top" wrapText="1"/>
    </xf>
    <xf numFmtId="0" fontId="9" fillId="2" borderId="13" xfId="0" applyFont="1" applyFill="1" applyBorder="1" applyAlignment="1">
      <alignment horizontal="right" vertical="top" wrapText="1"/>
    </xf>
  </cellXfs>
  <cellStyles count="7">
    <cellStyle name="Moeda" xfId="1" builtinId="4"/>
    <cellStyle name="Normal" xfId="0" builtinId="0"/>
    <cellStyle name="Normal 2" xfId="3" xr:uid="{00000000-0005-0000-0000-000002000000}"/>
    <cellStyle name="Normal 3" xfId="4" xr:uid="{00000000-0005-0000-0000-000003000000}"/>
    <cellStyle name="Porcentagem" xfId="2" builtinId="5"/>
    <cellStyle name="Porcentagem 2" xfId="6" xr:uid="{00000000-0005-0000-0000-000005000000}"/>
    <cellStyle name="Vírgula 2" xfId="5" xr:uid="{00000000-0005-0000-0000-000006000000}"/>
  </cellStyles>
  <dxfs count="80">
    <dxf>
      <font>
        <b/>
        <i val="0"/>
        <condense val="0"/>
        <extend val="0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</font>
      <fill>
        <patternFill patternType="solid">
          <fgColor indexed="46"/>
          <bgColor indexed="55"/>
        </patternFill>
      </fill>
      <border>
        <left/>
        <right/>
        <top style="thin">
          <color indexed="8"/>
        </top>
        <bottom/>
      </border>
    </dxf>
    <dxf>
      <font>
        <b/>
        <i val="0"/>
        <condense val="0"/>
        <extend val="0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</font>
      <fill>
        <patternFill patternType="solid">
          <fgColor indexed="46"/>
          <bgColor indexed="55"/>
        </patternFill>
      </fill>
      <border>
        <left/>
        <right/>
        <top style="thin">
          <color indexed="8"/>
        </top>
        <bottom/>
      </border>
    </dxf>
    <dxf>
      <font>
        <b/>
        <i val="0"/>
        <condense val="0"/>
        <extend val="0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</font>
      <fill>
        <patternFill patternType="solid">
          <fgColor indexed="46"/>
          <bgColor indexed="55"/>
        </patternFill>
      </fill>
      <border>
        <left/>
        <right/>
        <top style="thin">
          <color indexed="8"/>
        </top>
        <bottom/>
      </border>
    </dxf>
    <dxf>
      <font>
        <b/>
        <i val="0"/>
        <condense val="0"/>
        <extend val="0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</font>
      <fill>
        <patternFill patternType="solid">
          <fgColor indexed="46"/>
          <bgColor indexed="55"/>
        </patternFill>
      </fill>
      <border>
        <left/>
        <right/>
        <top style="thin">
          <color indexed="8"/>
        </top>
        <bottom/>
      </border>
    </dxf>
    <dxf>
      <font>
        <b/>
        <i val="0"/>
        <condense val="0"/>
        <extend val="0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</font>
      <fill>
        <patternFill patternType="solid">
          <fgColor indexed="46"/>
          <bgColor indexed="55"/>
        </patternFill>
      </fill>
      <border>
        <left/>
        <right/>
        <top style="thin">
          <color indexed="8"/>
        </top>
        <bottom/>
      </border>
    </dxf>
    <dxf>
      <font>
        <b/>
        <i val="0"/>
        <condense val="0"/>
        <extend val="0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</font>
      <fill>
        <patternFill patternType="solid">
          <fgColor indexed="46"/>
          <bgColor indexed="55"/>
        </patternFill>
      </fill>
      <border>
        <left/>
        <right/>
        <top style="thin">
          <color indexed="8"/>
        </top>
        <bottom/>
      </border>
    </dxf>
    <dxf>
      <font>
        <b/>
        <i val="0"/>
        <condense val="0"/>
        <extend val="0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</font>
      <fill>
        <patternFill patternType="solid">
          <fgColor indexed="46"/>
          <bgColor indexed="55"/>
        </patternFill>
      </fill>
      <border>
        <left/>
        <right/>
        <top style="thin">
          <color indexed="8"/>
        </top>
        <bottom/>
      </border>
    </dxf>
    <dxf>
      <font>
        <b/>
        <i val="0"/>
        <condense val="0"/>
        <extend val="0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</font>
      <fill>
        <patternFill patternType="solid">
          <fgColor indexed="46"/>
          <bgColor indexed="55"/>
        </patternFill>
      </fill>
      <border>
        <left/>
        <right/>
        <top style="thin">
          <color indexed="8"/>
        </top>
        <bottom/>
      </border>
    </dxf>
    <dxf>
      <font>
        <b/>
        <i val="0"/>
        <condense val="0"/>
        <extend val="0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</font>
      <fill>
        <patternFill patternType="solid">
          <fgColor indexed="46"/>
          <bgColor indexed="55"/>
        </patternFill>
      </fill>
      <border>
        <left/>
        <right/>
        <top style="thin">
          <color indexed="8"/>
        </top>
        <bottom/>
      </border>
    </dxf>
    <dxf>
      <font>
        <b/>
        <i val="0"/>
        <condense val="0"/>
        <extend val="0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</font>
      <fill>
        <patternFill patternType="solid">
          <fgColor indexed="46"/>
          <bgColor indexed="55"/>
        </patternFill>
      </fill>
      <border>
        <left/>
        <right/>
        <top style="thin">
          <color indexed="8"/>
        </top>
        <bottom/>
      </border>
    </dxf>
    <dxf>
      <font>
        <b/>
        <i val="0"/>
        <condense val="0"/>
        <extend val="0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</font>
      <fill>
        <patternFill patternType="solid">
          <fgColor indexed="46"/>
          <bgColor indexed="55"/>
        </patternFill>
      </fill>
      <border>
        <left/>
        <right/>
        <top style="thin">
          <color indexed="8"/>
        </top>
        <bottom/>
      </border>
    </dxf>
    <dxf>
      <font>
        <b/>
        <i val="0"/>
        <condense val="0"/>
        <extend val="0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</font>
      <fill>
        <patternFill patternType="solid">
          <fgColor indexed="46"/>
          <bgColor indexed="55"/>
        </patternFill>
      </fill>
      <border>
        <left/>
        <right/>
        <top style="thin">
          <color indexed="8"/>
        </top>
        <bottom/>
      </border>
    </dxf>
    <dxf>
      <font>
        <b/>
        <i val="0"/>
        <condense val="0"/>
        <extend val="0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</font>
      <fill>
        <patternFill patternType="solid">
          <fgColor indexed="46"/>
          <bgColor indexed="55"/>
        </patternFill>
      </fill>
      <border>
        <left/>
        <right/>
        <top style="thin">
          <color indexed="8"/>
        </top>
        <bottom/>
      </border>
    </dxf>
    <dxf>
      <font>
        <b/>
        <i val="0"/>
        <condense val="0"/>
        <extend val="0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</font>
      <fill>
        <patternFill patternType="solid">
          <fgColor indexed="46"/>
          <bgColor indexed="55"/>
        </patternFill>
      </fill>
      <border>
        <left/>
        <right/>
        <top style="thin">
          <color indexed="8"/>
        </top>
        <bottom/>
      </border>
    </dxf>
    <dxf>
      <font>
        <b/>
        <i val="0"/>
        <condense val="0"/>
        <extend val="0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</font>
      <fill>
        <patternFill patternType="solid">
          <fgColor indexed="46"/>
          <bgColor indexed="55"/>
        </patternFill>
      </fill>
      <border>
        <left/>
        <right/>
        <top style="thin">
          <color indexed="8"/>
        </top>
        <bottom/>
      </border>
    </dxf>
    <dxf>
      <font>
        <b/>
        <i val="0"/>
        <condense val="0"/>
        <extend val="0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</font>
      <fill>
        <patternFill patternType="solid">
          <fgColor indexed="46"/>
          <bgColor indexed="55"/>
        </patternFill>
      </fill>
      <border>
        <left/>
        <right/>
        <top style="thin">
          <color indexed="8"/>
        </top>
        <bottom/>
      </border>
    </dxf>
    <dxf>
      <font>
        <b/>
        <i val="0"/>
        <condense val="0"/>
        <extend val="0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</font>
      <fill>
        <patternFill patternType="solid">
          <fgColor indexed="46"/>
          <bgColor indexed="55"/>
        </patternFill>
      </fill>
      <border>
        <left/>
        <right/>
        <top style="thin">
          <color indexed="8"/>
        </top>
        <bottom/>
      </border>
    </dxf>
    <dxf>
      <font>
        <b/>
        <i val="0"/>
        <condense val="0"/>
        <extend val="0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</font>
      <fill>
        <patternFill patternType="solid">
          <fgColor indexed="46"/>
          <bgColor indexed="55"/>
        </patternFill>
      </fill>
      <border>
        <left/>
        <right/>
        <top style="thin">
          <color indexed="8"/>
        </top>
        <bottom/>
      </border>
    </dxf>
    <dxf>
      <font>
        <b/>
        <i val="0"/>
        <condense val="0"/>
        <extend val="0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</font>
      <fill>
        <patternFill patternType="solid">
          <fgColor indexed="46"/>
          <bgColor indexed="55"/>
        </patternFill>
      </fill>
      <border>
        <left/>
        <right/>
        <top style="thin">
          <color indexed="8"/>
        </top>
        <bottom/>
      </border>
    </dxf>
    <dxf>
      <font>
        <b/>
        <i val="0"/>
        <condense val="0"/>
        <extend val="0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</font>
      <fill>
        <patternFill patternType="solid">
          <fgColor indexed="46"/>
          <bgColor indexed="55"/>
        </patternFill>
      </fill>
      <border>
        <left/>
        <right/>
        <top style="thin">
          <color indexed="8"/>
        </top>
        <bottom/>
      </border>
    </dxf>
    <dxf>
      <font>
        <b/>
        <i val="0"/>
        <condense val="0"/>
        <extend val="0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</font>
      <fill>
        <patternFill patternType="solid">
          <fgColor indexed="46"/>
          <bgColor indexed="55"/>
        </patternFill>
      </fill>
      <border>
        <left/>
        <right/>
        <top style="thin">
          <color indexed="8"/>
        </top>
        <bottom/>
      </border>
    </dxf>
    <dxf>
      <font>
        <b/>
        <i val="0"/>
        <condense val="0"/>
        <extend val="0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</font>
      <fill>
        <patternFill patternType="solid">
          <fgColor indexed="46"/>
          <bgColor indexed="55"/>
        </patternFill>
      </fill>
      <border>
        <left/>
        <right/>
        <top style="thin">
          <color indexed="8"/>
        </top>
        <bottom/>
      </border>
    </dxf>
    <dxf>
      <font>
        <b/>
        <i val="0"/>
        <condense val="0"/>
        <extend val="0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</font>
      <fill>
        <patternFill patternType="solid">
          <fgColor indexed="46"/>
          <bgColor indexed="55"/>
        </patternFill>
      </fill>
      <border>
        <left/>
        <right/>
        <top style="thin">
          <color indexed="8"/>
        </top>
        <bottom/>
      </border>
    </dxf>
    <dxf>
      <font>
        <b/>
        <i val="0"/>
        <condense val="0"/>
        <extend val="0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</font>
      <fill>
        <patternFill patternType="solid">
          <fgColor indexed="46"/>
          <bgColor indexed="55"/>
        </patternFill>
      </fill>
      <border>
        <left/>
        <right/>
        <top style="thin">
          <color indexed="8"/>
        </top>
        <bottom/>
      </border>
    </dxf>
    <dxf>
      <font>
        <b/>
        <i val="0"/>
        <condense val="0"/>
        <extend val="0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</font>
      <fill>
        <patternFill patternType="solid">
          <fgColor indexed="46"/>
          <bgColor indexed="55"/>
        </patternFill>
      </fill>
      <border>
        <left/>
        <right/>
        <top style="thin">
          <color indexed="8"/>
        </top>
        <bottom/>
      </border>
    </dxf>
    <dxf>
      <font>
        <b/>
        <i val="0"/>
        <condense val="0"/>
        <extend val="0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</font>
      <fill>
        <patternFill patternType="solid">
          <fgColor indexed="46"/>
          <bgColor indexed="55"/>
        </patternFill>
      </fill>
      <border>
        <left/>
        <right/>
        <top style="thin">
          <color indexed="8"/>
        </top>
        <bottom/>
      </border>
    </dxf>
    <dxf>
      <font>
        <b/>
        <i val="0"/>
        <condense val="0"/>
        <extend val="0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</font>
      <fill>
        <patternFill patternType="solid">
          <fgColor indexed="46"/>
          <bgColor indexed="55"/>
        </patternFill>
      </fill>
      <border>
        <left/>
        <right/>
        <top style="thin">
          <color indexed="8"/>
        </top>
        <bottom/>
      </border>
    </dxf>
    <dxf>
      <font>
        <b/>
        <i val="0"/>
        <condense val="0"/>
        <extend val="0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</font>
      <fill>
        <patternFill patternType="solid">
          <fgColor indexed="46"/>
          <bgColor indexed="55"/>
        </patternFill>
      </fill>
      <border>
        <left/>
        <right/>
        <top style="thin">
          <color indexed="8"/>
        </top>
        <bottom/>
      </border>
    </dxf>
    <dxf>
      <font>
        <b/>
        <i val="0"/>
        <condense val="0"/>
        <extend val="0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</font>
      <fill>
        <patternFill patternType="solid">
          <fgColor indexed="46"/>
          <bgColor indexed="55"/>
        </patternFill>
      </fill>
      <border>
        <left/>
        <right/>
        <top style="thin">
          <color indexed="8"/>
        </top>
        <bottom/>
      </border>
    </dxf>
    <dxf>
      <font>
        <b/>
        <i val="0"/>
        <condense val="0"/>
        <extend val="0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</font>
      <fill>
        <patternFill patternType="solid">
          <fgColor indexed="46"/>
          <bgColor indexed="55"/>
        </patternFill>
      </fill>
      <border>
        <left/>
        <right/>
        <top style="thin">
          <color indexed="8"/>
        </top>
        <bottom/>
      </border>
    </dxf>
    <dxf>
      <font>
        <b/>
        <i val="0"/>
        <condense val="0"/>
        <extend val="0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</font>
      <fill>
        <patternFill patternType="solid">
          <fgColor indexed="46"/>
          <bgColor indexed="55"/>
        </patternFill>
      </fill>
      <border>
        <left/>
        <right/>
        <top style="thin">
          <color indexed="8"/>
        </top>
        <bottom/>
      </border>
    </dxf>
    <dxf>
      <font>
        <b/>
        <i val="0"/>
        <condense val="0"/>
        <extend val="0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</font>
      <fill>
        <patternFill patternType="solid">
          <fgColor indexed="46"/>
          <bgColor indexed="55"/>
        </patternFill>
      </fill>
      <border>
        <left/>
        <right/>
        <top style="thin">
          <color indexed="8"/>
        </top>
        <bottom/>
      </border>
    </dxf>
    <dxf>
      <font>
        <b/>
        <i val="0"/>
        <condense val="0"/>
        <extend val="0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</font>
      <fill>
        <patternFill patternType="solid">
          <fgColor indexed="46"/>
          <bgColor indexed="55"/>
        </patternFill>
      </fill>
      <border>
        <left/>
        <right/>
        <top style="thin">
          <color indexed="8"/>
        </top>
        <bottom/>
      </border>
    </dxf>
    <dxf>
      <font>
        <b/>
        <i val="0"/>
        <condense val="0"/>
        <extend val="0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</font>
      <fill>
        <patternFill patternType="solid">
          <fgColor indexed="46"/>
          <bgColor indexed="55"/>
        </patternFill>
      </fill>
      <border>
        <left/>
        <right/>
        <top style="thin">
          <color indexed="8"/>
        </top>
        <bottom/>
      </border>
    </dxf>
    <dxf>
      <font>
        <b/>
        <i val="0"/>
        <condense val="0"/>
        <extend val="0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</font>
      <fill>
        <patternFill patternType="solid">
          <fgColor indexed="46"/>
          <bgColor indexed="55"/>
        </patternFill>
      </fill>
      <border>
        <left/>
        <right/>
        <top style="thin">
          <color indexed="8"/>
        </top>
        <bottom/>
      </border>
    </dxf>
    <dxf>
      <font>
        <b/>
        <i val="0"/>
        <condense val="0"/>
        <extend val="0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</font>
      <fill>
        <patternFill patternType="solid">
          <fgColor indexed="46"/>
          <bgColor indexed="55"/>
        </patternFill>
      </fill>
      <border>
        <left/>
        <right/>
        <top style="thin">
          <color indexed="8"/>
        </top>
        <bottom/>
      </border>
    </dxf>
    <dxf>
      <font>
        <b/>
        <i val="0"/>
        <condense val="0"/>
        <extend val="0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</font>
      <fill>
        <patternFill patternType="solid">
          <fgColor indexed="46"/>
          <bgColor indexed="55"/>
        </patternFill>
      </fill>
      <border>
        <left/>
        <right/>
        <top style="thin">
          <color indexed="8"/>
        </top>
        <bottom/>
      </border>
    </dxf>
    <dxf>
      <font>
        <b/>
        <i val="0"/>
        <condense val="0"/>
        <extend val="0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</font>
      <fill>
        <patternFill patternType="solid">
          <fgColor indexed="46"/>
          <bgColor indexed="55"/>
        </patternFill>
      </fill>
      <border>
        <left/>
        <right/>
        <top style="thin">
          <color indexed="8"/>
        </top>
        <bottom/>
      </border>
    </dxf>
    <dxf>
      <font>
        <b/>
        <i val="0"/>
        <condense val="0"/>
        <extend val="0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</font>
      <fill>
        <patternFill patternType="solid">
          <fgColor indexed="46"/>
          <bgColor indexed="55"/>
        </patternFill>
      </fill>
      <border>
        <left/>
        <right/>
        <top style="thin">
          <color indexed="8"/>
        </top>
        <bottom/>
      </border>
    </dxf>
    <dxf>
      <font>
        <b/>
        <i val="0"/>
        <condense val="0"/>
        <extend val="0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</font>
      <fill>
        <patternFill patternType="solid">
          <fgColor indexed="46"/>
          <bgColor indexed="55"/>
        </patternFill>
      </fill>
      <border>
        <left/>
        <right/>
        <top style="thin">
          <color indexed="8"/>
        </top>
        <bottom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ONSTRUTORA%20M%20&amp;%20M\TOMAZINA\LICITA&#199;&#213;ES%202019\TP%20-%2012-2019%20-%20CAL&#199;ADAS%20-%20TOMAZINA\REVITALIZA&#199;&#195;O%20PASSEIO_FINAL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ONTRUTORA%20ROCHA%20&amp;%20SENE\TOMAZINA\TP%20-%2004-20%20-%20CORREDEIRAS\OUTROS\PARQUE%20DAS%20CORREDEIRA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"/>
      <sheetName val="MENU"/>
      <sheetName val="NOVO"/>
      <sheetName val="BDI"/>
      <sheetName val="ORÇAMENTO"/>
      <sheetName val="CÁLCULO"/>
      <sheetName val="EVENTOS"/>
      <sheetName val="CRONO"/>
      <sheetName val="CRONOPLE"/>
      <sheetName val="PLE"/>
      <sheetName val="QCI"/>
      <sheetName val="BM"/>
      <sheetName val="RRE"/>
      <sheetName val="OFÍCI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DADOS"/>
      <sheetName val="NOVO"/>
      <sheetName val="BDI"/>
      <sheetName val="ORÇAMENTO"/>
      <sheetName val="CÁLCULO"/>
      <sheetName val="EVENTOS"/>
      <sheetName val="CRONO"/>
      <sheetName val="CRONOPLE"/>
      <sheetName val="PLE"/>
      <sheetName val="QCI"/>
      <sheetName val="BM"/>
      <sheetName val="RRE"/>
      <sheetName val="OFÍCIO"/>
    </sheetNames>
    <sheetDataSet>
      <sheetData sheetId="0">
        <row r="3">
          <cell r="O3">
            <v>1</v>
          </cell>
        </row>
      </sheetData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07AF34-C3D1-4F2A-97B2-B1C4E0797F36}">
  <sheetPr>
    <pageSetUpPr fitToPage="1"/>
  </sheetPr>
  <dimension ref="B1:N147"/>
  <sheetViews>
    <sheetView tabSelected="1" topLeftCell="A10" zoomScaleNormal="100" workbookViewId="0">
      <selection activeCell="K142" sqref="B2:K142"/>
    </sheetView>
  </sheetViews>
  <sheetFormatPr defaultRowHeight="12.75" x14ac:dyDescent="0.2"/>
  <cols>
    <col min="1" max="1" width="3" customWidth="1"/>
    <col min="2" max="2" width="8" style="48" customWidth="1"/>
    <col min="3" max="3" width="15.1640625" style="1" bestFit="1" customWidth="1"/>
    <col min="4" max="4" width="10.1640625" style="1" bestFit="1" customWidth="1"/>
    <col min="5" max="5" width="46.33203125" customWidth="1"/>
    <col min="6" max="6" width="11" style="1" bestFit="1" customWidth="1"/>
    <col min="7" max="7" width="12.5" style="1" customWidth="1"/>
    <col min="8" max="8" width="12.33203125" style="8" bestFit="1" customWidth="1"/>
    <col min="9" max="9" width="7.5" style="6" bestFit="1" customWidth="1"/>
    <col min="10" max="10" width="12.33203125" style="8" bestFit="1" customWidth="1"/>
    <col min="11" max="11" width="15.5" style="8" bestFit="1" customWidth="1"/>
    <col min="12" max="12" width="4.6640625" customWidth="1"/>
    <col min="14" max="14" width="13.5" bestFit="1" customWidth="1"/>
  </cols>
  <sheetData>
    <row r="1" spans="2:14" ht="13.5" customHeight="1" thickBot="1" x14ac:dyDescent="0.25">
      <c r="B1" s="27"/>
      <c r="C1" s="27"/>
      <c r="D1" s="27"/>
      <c r="E1" s="27"/>
      <c r="F1" s="27"/>
      <c r="G1" s="27"/>
      <c r="H1" s="27"/>
      <c r="I1" s="27"/>
      <c r="J1" s="27"/>
      <c r="K1" s="27"/>
    </row>
    <row r="2" spans="2:14" ht="14.25" x14ac:dyDescent="0.2">
      <c r="B2" s="49" t="s">
        <v>77</v>
      </c>
      <c r="C2" s="50"/>
      <c r="D2" s="50"/>
      <c r="E2" s="50"/>
      <c r="F2" s="50"/>
      <c r="G2" s="50"/>
      <c r="H2" s="50"/>
      <c r="I2" s="50"/>
      <c r="J2" s="50"/>
      <c r="K2" s="51"/>
      <c r="L2" s="4"/>
    </row>
    <row r="3" spans="2:14" ht="13.5" thickBot="1" x14ac:dyDescent="0.25">
      <c r="B3" s="45"/>
      <c r="C3" s="2"/>
      <c r="D3" s="2"/>
      <c r="E3" s="3"/>
      <c r="F3" s="2"/>
      <c r="G3" s="2"/>
      <c r="H3" s="9"/>
      <c r="I3" s="7"/>
      <c r="J3" s="9"/>
      <c r="K3" s="10"/>
    </row>
    <row r="4" spans="2:14" ht="48.75" customHeight="1" x14ac:dyDescent="0.2">
      <c r="B4" s="22" t="s">
        <v>2</v>
      </c>
      <c r="C4" s="23" t="s">
        <v>8</v>
      </c>
      <c r="D4" s="23" t="s">
        <v>9</v>
      </c>
      <c r="E4" s="23" t="s">
        <v>1</v>
      </c>
      <c r="F4" s="23" t="s">
        <v>3</v>
      </c>
      <c r="G4" s="23" t="s">
        <v>4</v>
      </c>
      <c r="H4" s="24" t="s">
        <v>11</v>
      </c>
      <c r="I4" s="25" t="s">
        <v>0</v>
      </c>
      <c r="J4" s="24" t="s">
        <v>6</v>
      </c>
      <c r="K4" s="26" t="s">
        <v>5</v>
      </c>
      <c r="L4" s="5"/>
    </row>
    <row r="5" spans="2:14" x14ac:dyDescent="0.2">
      <c r="B5" s="38" t="s">
        <v>7</v>
      </c>
      <c r="C5" s="39"/>
      <c r="D5" s="39"/>
      <c r="E5" s="40" t="s">
        <v>63</v>
      </c>
      <c r="F5" s="41"/>
      <c r="G5" s="41"/>
      <c r="H5" s="41"/>
      <c r="I5" s="41"/>
      <c r="J5" s="41"/>
      <c r="K5" s="42">
        <f>K6+K10+K12+K17+K22+K24+K29</f>
        <v>25318.329999999998</v>
      </c>
      <c r="N5" s="43"/>
    </row>
    <row r="6" spans="2:14" x14ac:dyDescent="0.2">
      <c r="B6" s="13" t="s">
        <v>18</v>
      </c>
      <c r="C6" s="14"/>
      <c r="D6" s="14"/>
      <c r="E6" s="20" t="s">
        <v>15</v>
      </c>
      <c r="F6" s="21"/>
      <c r="G6" s="21"/>
      <c r="H6" s="21"/>
      <c r="I6" s="21"/>
      <c r="J6" s="21"/>
      <c r="K6" s="15">
        <f>SUM(K7:K9)</f>
        <v>1774.9899999999998</v>
      </c>
      <c r="N6" s="43"/>
    </row>
    <row r="7" spans="2:14" ht="38.25" x14ac:dyDescent="0.2">
      <c r="B7" s="46" t="s">
        <v>64</v>
      </c>
      <c r="C7" s="29" t="s">
        <v>14</v>
      </c>
      <c r="D7" s="29">
        <v>97622</v>
      </c>
      <c r="E7" s="28" t="s">
        <v>12</v>
      </c>
      <c r="F7" s="11" t="s">
        <v>13</v>
      </c>
      <c r="G7" s="12">
        <f>ROUND(21.5*1.8*0.15,2)</f>
        <v>5.81</v>
      </c>
      <c r="H7" s="16">
        <v>57.22</v>
      </c>
      <c r="I7" s="30">
        <v>0.25</v>
      </c>
      <c r="J7" s="16">
        <f t="shared" ref="J7" si="0">ROUND((H7+H7*I7),2)</f>
        <v>71.53</v>
      </c>
      <c r="K7" s="17">
        <f>ROUND(J7*G7,2)</f>
        <v>415.59</v>
      </c>
      <c r="L7" s="18"/>
    </row>
    <row r="8" spans="2:14" ht="38.25" x14ac:dyDescent="0.2">
      <c r="B8" s="46" t="s">
        <v>65</v>
      </c>
      <c r="C8" s="29" t="s">
        <v>14</v>
      </c>
      <c r="D8" s="29">
        <v>97626</v>
      </c>
      <c r="E8" s="28" t="s">
        <v>17</v>
      </c>
      <c r="F8" s="11" t="s">
        <v>13</v>
      </c>
      <c r="G8" s="12">
        <f>ROUND(21.5*0.15*0.2*2,2)+ROUND(8*0.15*0.15*2.1,2)</f>
        <v>1.67</v>
      </c>
      <c r="H8" s="16">
        <v>616.66</v>
      </c>
      <c r="I8" s="30">
        <v>0.25</v>
      </c>
      <c r="J8" s="16">
        <f t="shared" ref="J8" si="1">ROUND((H8+H8*I8),2)</f>
        <v>770.83</v>
      </c>
      <c r="K8" s="17">
        <f t="shared" ref="K8" si="2">ROUND(J8*G8,2)</f>
        <v>1287.29</v>
      </c>
      <c r="L8" s="18"/>
    </row>
    <row r="9" spans="2:14" ht="76.5" x14ac:dyDescent="0.2">
      <c r="B9" s="46" t="s">
        <v>66</v>
      </c>
      <c r="C9" s="29" t="s">
        <v>14</v>
      </c>
      <c r="D9" s="29">
        <v>100981</v>
      </c>
      <c r="E9" s="28" t="s">
        <v>16</v>
      </c>
      <c r="F9" s="11" t="s">
        <v>13</v>
      </c>
      <c r="G9" s="12">
        <f>G7+G8</f>
        <v>7.4799999999999995</v>
      </c>
      <c r="H9" s="16">
        <v>7.71</v>
      </c>
      <c r="I9" s="30">
        <v>0.25</v>
      </c>
      <c r="J9" s="16">
        <f t="shared" ref="J9:J27" si="3">ROUND((H9+H9*I9),2)</f>
        <v>9.64</v>
      </c>
      <c r="K9" s="17">
        <f t="shared" ref="K9:K27" si="4">ROUND(J9*G9,2)</f>
        <v>72.11</v>
      </c>
      <c r="L9" s="18"/>
    </row>
    <row r="10" spans="2:14" x14ac:dyDescent="0.2">
      <c r="B10" s="13" t="s">
        <v>19</v>
      </c>
      <c r="C10" s="14"/>
      <c r="D10" s="14"/>
      <c r="E10" s="20" t="s">
        <v>24</v>
      </c>
      <c r="F10" s="21"/>
      <c r="G10" s="21"/>
      <c r="H10" s="21"/>
      <c r="I10" s="21"/>
      <c r="J10" s="21"/>
      <c r="K10" s="15">
        <f>SUM(K11)</f>
        <v>1769.04</v>
      </c>
    </row>
    <row r="11" spans="2:14" ht="51" x14ac:dyDescent="0.2">
      <c r="B11" s="46" t="s">
        <v>67</v>
      </c>
      <c r="C11" s="29" t="s">
        <v>14</v>
      </c>
      <c r="D11" s="29">
        <v>101173</v>
      </c>
      <c r="E11" s="28" t="s">
        <v>22</v>
      </c>
      <c r="F11" s="11" t="s">
        <v>23</v>
      </c>
      <c r="G11" s="12">
        <f>ROUND(8*3,2)</f>
        <v>24</v>
      </c>
      <c r="H11" s="16">
        <v>58.97</v>
      </c>
      <c r="I11" s="30">
        <v>0.25</v>
      </c>
      <c r="J11" s="16">
        <f t="shared" si="3"/>
        <v>73.709999999999994</v>
      </c>
      <c r="K11" s="17">
        <f t="shared" si="4"/>
        <v>1769.04</v>
      </c>
      <c r="L11" s="18"/>
    </row>
    <row r="12" spans="2:14" x14ac:dyDescent="0.2">
      <c r="B12" s="13" t="s">
        <v>20</v>
      </c>
      <c r="C12" s="14"/>
      <c r="D12" s="14"/>
      <c r="E12" s="20" t="s">
        <v>27</v>
      </c>
      <c r="F12" s="21"/>
      <c r="G12" s="21"/>
      <c r="H12" s="21"/>
      <c r="I12" s="21"/>
      <c r="J12" s="21"/>
      <c r="K12" s="15">
        <f>SUM(K13:K16)</f>
        <v>4531.8899999999994</v>
      </c>
    </row>
    <row r="13" spans="2:14" ht="38.25" x14ac:dyDescent="0.2">
      <c r="B13" s="46" t="s">
        <v>68</v>
      </c>
      <c r="C13" s="29" t="s">
        <v>14</v>
      </c>
      <c r="D13" s="29">
        <v>96543</v>
      </c>
      <c r="E13" s="28" t="s">
        <v>29</v>
      </c>
      <c r="F13" s="11" t="s">
        <v>30</v>
      </c>
      <c r="G13" s="12">
        <f>ROUND(21.5/0.15*0.6*0.154,2)</f>
        <v>13.24</v>
      </c>
      <c r="H13" s="16">
        <v>20.47</v>
      </c>
      <c r="I13" s="30">
        <v>0.25</v>
      </c>
      <c r="J13" s="16">
        <f t="shared" si="3"/>
        <v>25.59</v>
      </c>
      <c r="K13" s="17">
        <f t="shared" si="4"/>
        <v>338.81</v>
      </c>
      <c r="L13" s="18"/>
    </row>
    <row r="14" spans="2:14" ht="38.25" x14ac:dyDescent="0.2">
      <c r="B14" s="46" t="s">
        <v>69</v>
      </c>
      <c r="C14" s="29" t="s">
        <v>14</v>
      </c>
      <c r="D14" s="29">
        <v>96545</v>
      </c>
      <c r="E14" s="28" t="s">
        <v>31</v>
      </c>
      <c r="F14" s="11" t="s">
        <v>30</v>
      </c>
      <c r="G14" s="12">
        <f>ROUND(21.5*4*0.395,2)</f>
        <v>33.97</v>
      </c>
      <c r="H14" s="16">
        <v>17.489999999999998</v>
      </c>
      <c r="I14" s="30">
        <v>0.25</v>
      </c>
      <c r="J14" s="16">
        <f t="shared" si="3"/>
        <v>21.86</v>
      </c>
      <c r="K14" s="17">
        <f t="shared" si="4"/>
        <v>742.58</v>
      </c>
      <c r="L14" s="18"/>
    </row>
    <row r="15" spans="2:14" ht="51" x14ac:dyDescent="0.2">
      <c r="B15" s="46" t="s">
        <v>70</v>
      </c>
      <c r="C15" s="29" t="s">
        <v>14</v>
      </c>
      <c r="D15" s="29">
        <v>96530</v>
      </c>
      <c r="E15" s="28" t="s">
        <v>32</v>
      </c>
      <c r="F15" s="11" t="s">
        <v>33</v>
      </c>
      <c r="G15" s="12">
        <f>ROUND(21.5*0.25*2,2)</f>
        <v>10.75</v>
      </c>
      <c r="H15" s="16">
        <v>214.75</v>
      </c>
      <c r="I15" s="30">
        <v>0.25</v>
      </c>
      <c r="J15" s="16">
        <f t="shared" si="3"/>
        <v>268.44</v>
      </c>
      <c r="K15" s="17">
        <f t="shared" si="4"/>
        <v>2885.73</v>
      </c>
      <c r="L15" s="18"/>
    </row>
    <row r="16" spans="2:14" ht="63.75" x14ac:dyDescent="0.2">
      <c r="B16" s="46" t="s">
        <v>71</v>
      </c>
      <c r="C16" s="29" t="s">
        <v>14</v>
      </c>
      <c r="D16" s="29">
        <v>96555</v>
      </c>
      <c r="E16" s="28" t="s">
        <v>34</v>
      </c>
      <c r="F16" s="11" t="s">
        <v>13</v>
      </c>
      <c r="G16" s="12">
        <f>ROUND(21.5*0.15*0.25,2)</f>
        <v>0.81</v>
      </c>
      <c r="H16" s="16">
        <v>557.79999999999995</v>
      </c>
      <c r="I16" s="30">
        <v>0.25</v>
      </c>
      <c r="J16" s="16">
        <f t="shared" si="3"/>
        <v>697.25</v>
      </c>
      <c r="K16" s="17">
        <f t="shared" si="4"/>
        <v>564.77</v>
      </c>
      <c r="L16" s="18"/>
    </row>
    <row r="17" spans="2:12" x14ac:dyDescent="0.2">
      <c r="B17" s="13" t="s">
        <v>72</v>
      </c>
      <c r="C17" s="14"/>
      <c r="D17" s="14"/>
      <c r="E17" s="20" t="s">
        <v>36</v>
      </c>
      <c r="F17" s="21"/>
      <c r="G17" s="21"/>
      <c r="H17" s="21"/>
      <c r="I17" s="21"/>
      <c r="J17" s="21"/>
      <c r="K17" s="15">
        <f>SUM(K18:K21)</f>
        <v>4009.56</v>
      </c>
    </row>
    <row r="18" spans="2:12" ht="63.75" x14ac:dyDescent="0.2">
      <c r="B18" s="46" t="s">
        <v>73</v>
      </c>
      <c r="C18" s="29" t="s">
        <v>14</v>
      </c>
      <c r="D18" s="29">
        <v>92775</v>
      </c>
      <c r="E18" s="28" t="s">
        <v>37</v>
      </c>
      <c r="F18" s="11" t="s">
        <v>30</v>
      </c>
      <c r="G18" s="12">
        <f>ROUND(16/0.15*0.154*0.6,2)</f>
        <v>9.86</v>
      </c>
      <c r="H18" s="16">
        <v>20.64</v>
      </c>
      <c r="I18" s="30">
        <v>0.25</v>
      </c>
      <c r="J18" s="16">
        <f t="shared" ref="J18:J23" si="5">ROUND((H18+H18*I18),2)</f>
        <v>25.8</v>
      </c>
      <c r="K18" s="17">
        <f t="shared" ref="K18:K23" si="6">ROUND(J18*G18,2)</f>
        <v>254.39</v>
      </c>
      <c r="L18" s="18"/>
    </row>
    <row r="19" spans="2:12" ht="63.75" x14ac:dyDescent="0.2">
      <c r="B19" s="46" t="s">
        <v>74</v>
      </c>
      <c r="C19" s="29" t="s">
        <v>14</v>
      </c>
      <c r="D19" s="29">
        <v>92778</v>
      </c>
      <c r="E19" s="28" t="s">
        <v>39</v>
      </c>
      <c r="F19" s="11" t="s">
        <v>30</v>
      </c>
      <c r="G19" s="12">
        <f>ROUND(14*4*0.617,2)</f>
        <v>34.549999999999997</v>
      </c>
      <c r="H19" s="16">
        <v>15.43</v>
      </c>
      <c r="I19" s="30">
        <v>0.25</v>
      </c>
      <c r="J19" s="16">
        <f t="shared" si="5"/>
        <v>19.29</v>
      </c>
      <c r="K19" s="17">
        <f t="shared" si="6"/>
        <v>666.47</v>
      </c>
      <c r="L19" s="18"/>
    </row>
    <row r="20" spans="2:12" ht="38.25" x14ac:dyDescent="0.2">
      <c r="B20" s="46" t="s">
        <v>75</v>
      </c>
      <c r="C20" s="29" t="s">
        <v>14</v>
      </c>
      <c r="D20" s="29">
        <v>92269</v>
      </c>
      <c r="E20" s="28" t="s">
        <v>40</v>
      </c>
      <c r="F20" s="11" t="s">
        <v>33</v>
      </c>
      <c r="G20" s="12">
        <f>ROUND(16*0.25*2,2)</f>
        <v>8</v>
      </c>
      <c r="H20" s="16">
        <v>273.47000000000003</v>
      </c>
      <c r="I20" s="30">
        <v>0.25</v>
      </c>
      <c r="J20" s="16">
        <f t="shared" si="5"/>
        <v>341.84</v>
      </c>
      <c r="K20" s="17">
        <f t="shared" si="6"/>
        <v>2734.72</v>
      </c>
      <c r="L20" s="18"/>
    </row>
    <row r="21" spans="2:12" ht="76.5" x14ac:dyDescent="0.2">
      <c r="B21" s="46" t="s">
        <v>76</v>
      </c>
      <c r="C21" s="29" t="s">
        <v>14</v>
      </c>
      <c r="D21" s="29">
        <v>92718</v>
      </c>
      <c r="E21" s="28" t="s">
        <v>42</v>
      </c>
      <c r="F21" s="11" t="s">
        <v>13</v>
      </c>
      <c r="G21" s="12">
        <f>ROUND(16*0.15*0.2,2)</f>
        <v>0.48</v>
      </c>
      <c r="H21" s="16">
        <v>589.97</v>
      </c>
      <c r="I21" s="30">
        <v>0.25</v>
      </c>
      <c r="J21" s="16">
        <f t="shared" si="5"/>
        <v>737.46</v>
      </c>
      <c r="K21" s="17">
        <f t="shared" si="6"/>
        <v>353.98</v>
      </c>
      <c r="L21" s="18"/>
    </row>
    <row r="22" spans="2:12" x14ac:dyDescent="0.2">
      <c r="B22" s="13" t="s">
        <v>78</v>
      </c>
      <c r="C22" s="14"/>
      <c r="D22" s="14"/>
      <c r="E22" s="20" t="s">
        <v>44</v>
      </c>
      <c r="F22" s="21"/>
      <c r="G22" s="21"/>
      <c r="H22" s="21"/>
      <c r="I22" s="21"/>
      <c r="J22" s="21"/>
      <c r="K22" s="15">
        <f>SUM(K23)</f>
        <v>4669.7700000000004</v>
      </c>
    </row>
    <row r="23" spans="2:12" ht="89.25" x14ac:dyDescent="0.2">
      <c r="B23" s="46" t="s">
        <v>79</v>
      </c>
      <c r="C23" s="29" t="s">
        <v>14</v>
      </c>
      <c r="D23" s="29">
        <v>89168</v>
      </c>
      <c r="E23" s="28" t="s">
        <v>126</v>
      </c>
      <c r="F23" s="11" t="s">
        <v>33</v>
      </c>
      <c r="G23" s="12">
        <f>ROUND(21.5*1.85,2)</f>
        <v>39.78</v>
      </c>
      <c r="H23" s="16">
        <v>93.91</v>
      </c>
      <c r="I23" s="30">
        <v>0.25</v>
      </c>
      <c r="J23" s="16">
        <f t="shared" si="5"/>
        <v>117.39</v>
      </c>
      <c r="K23" s="17">
        <f t="shared" si="6"/>
        <v>4669.7700000000004</v>
      </c>
      <c r="L23" s="18"/>
    </row>
    <row r="24" spans="2:12" x14ac:dyDescent="0.2">
      <c r="B24" s="13" t="s">
        <v>80</v>
      </c>
      <c r="C24" s="14"/>
      <c r="D24" s="14"/>
      <c r="E24" s="20" t="s">
        <v>47</v>
      </c>
      <c r="F24" s="21"/>
      <c r="G24" s="21"/>
      <c r="H24" s="21"/>
      <c r="I24" s="21"/>
      <c r="J24" s="21"/>
      <c r="K24" s="15">
        <f>SUM(K25:K28)</f>
        <v>4528.4799999999996</v>
      </c>
    </row>
    <row r="25" spans="2:12" ht="63.75" x14ac:dyDescent="0.2">
      <c r="B25" s="46" t="s">
        <v>81</v>
      </c>
      <c r="C25" s="29" t="s">
        <v>14</v>
      </c>
      <c r="D25" s="29">
        <v>92775</v>
      </c>
      <c r="E25" s="28" t="s">
        <v>37</v>
      </c>
      <c r="F25" s="11" t="s">
        <v>30</v>
      </c>
      <c r="G25" s="12">
        <v>13.24</v>
      </c>
      <c r="H25" s="16">
        <v>20.64</v>
      </c>
      <c r="I25" s="30">
        <v>0.25</v>
      </c>
      <c r="J25" s="16">
        <f t="shared" si="3"/>
        <v>25.8</v>
      </c>
      <c r="K25" s="17">
        <f t="shared" si="4"/>
        <v>341.59</v>
      </c>
      <c r="L25" s="18"/>
    </row>
    <row r="26" spans="2:12" ht="63.75" x14ac:dyDescent="0.2">
      <c r="B26" s="46" t="s">
        <v>82</v>
      </c>
      <c r="C26" s="29" t="s">
        <v>14</v>
      </c>
      <c r="D26" s="29">
        <v>92777</v>
      </c>
      <c r="E26" s="28" t="s">
        <v>38</v>
      </c>
      <c r="F26" s="11" t="s">
        <v>30</v>
      </c>
      <c r="G26" s="12">
        <v>33.97</v>
      </c>
      <c r="H26" s="16">
        <v>17.48</v>
      </c>
      <c r="I26" s="30">
        <v>0.25</v>
      </c>
      <c r="J26" s="16">
        <f t="shared" si="3"/>
        <v>21.85</v>
      </c>
      <c r="K26" s="17">
        <f t="shared" si="4"/>
        <v>742.24</v>
      </c>
      <c r="L26" s="18"/>
    </row>
    <row r="27" spans="2:12" ht="25.5" x14ac:dyDescent="0.2">
      <c r="B27" s="46" t="s">
        <v>83</v>
      </c>
      <c r="C27" s="29" t="s">
        <v>14</v>
      </c>
      <c r="D27" s="29">
        <v>92270</v>
      </c>
      <c r="E27" s="28" t="s">
        <v>41</v>
      </c>
      <c r="F27" s="11" t="s">
        <v>33</v>
      </c>
      <c r="G27" s="12">
        <v>10.75</v>
      </c>
      <c r="H27" s="16">
        <v>205.64</v>
      </c>
      <c r="I27" s="30">
        <v>0.25</v>
      </c>
      <c r="J27" s="16">
        <f t="shared" si="3"/>
        <v>257.05</v>
      </c>
      <c r="K27" s="17">
        <f t="shared" si="4"/>
        <v>2763.29</v>
      </c>
      <c r="L27" s="18"/>
    </row>
    <row r="28" spans="2:12" ht="76.5" x14ac:dyDescent="0.2">
      <c r="B28" s="46" t="s">
        <v>84</v>
      </c>
      <c r="C28" s="29" t="s">
        <v>14</v>
      </c>
      <c r="D28" s="29">
        <v>92741</v>
      </c>
      <c r="E28" s="28" t="s">
        <v>49</v>
      </c>
      <c r="F28" s="11" t="s">
        <v>13</v>
      </c>
      <c r="G28" s="12">
        <v>0.81</v>
      </c>
      <c r="H28" s="16">
        <v>672.94</v>
      </c>
      <c r="I28" s="30">
        <v>0.25</v>
      </c>
      <c r="J28" s="16">
        <f t="shared" ref="J28:J31" si="7">ROUND((H28+H28*I28),2)</f>
        <v>841.18</v>
      </c>
      <c r="K28" s="17">
        <f t="shared" ref="K28:K31" si="8">ROUND(J28*G28,2)</f>
        <v>681.36</v>
      </c>
      <c r="L28" s="18"/>
    </row>
    <row r="29" spans="2:12" x14ac:dyDescent="0.2">
      <c r="B29" s="13" t="s">
        <v>85</v>
      </c>
      <c r="C29" s="14"/>
      <c r="D29" s="14"/>
      <c r="E29" s="20" t="s">
        <v>54</v>
      </c>
      <c r="F29" s="21"/>
      <c r="G29" s="21"/>
      <c r="H29" s="21"/>
      <c r="I29" s="21"/>
      <c r="J29" s="21"/>
      <c r="K29" s="15">
        <f>SUM(K30:K31)</f>
        <v>4034.6</v>
      </c>
    </row>
    <row r="30" spans="2:12" ht="63.75" x14ac:dyDescent="0.2">
      <c r="B30" s="46" t="s">
        <v>86</v>
      </c>
      <c r="C30" s="29" t="s">
        <v>14</v>
      </c>
      <c r="D30" s="29">
        <v>87879</v>
      </c>
      <c r="E30" s="28" t="s">
        <v>56</v>
      </c>
      <c r="F30" s="11" t="s">
        <v>33</v>
      </c>
      <c r="G30" s="12">
        <f>ROUND(21.5*2.1*2,2)</f>
        <v>90.3</v>
      </c>
      <c r="H30" s="16">
        <v>3.82</v>
      </c>
      <c r="I30" s="30">
        <v>0.25</v>
      </c>
      <c r="J30" s="16">
        <f t="shared" si="7"/>
        <v>4.78</v>
      </c>
      <c r="K30" s="17">
        <f t="shared" si="8"/>
        <v>431.63</v>
      </c>
      <c r="L30" s="18"/>
    </row>
    <row r="31" spans="2:12" ht="102" x14ac:dyDescent="0.2">
      <c r="B31" s="46" t="s">
        <v>87</v>
      </c>
      <c r="C31" s="29" t="s">
        <v>14</v>
      </c>
      <c r="D31" s="29">
        <v>89173</v>
      </c>
      <c r="E31" s="28" t="s">
        <v>59</v>
      </c>
      <c r="F31" s="11" t="s">
        <v>33</v>
      </c>
      <c r="G31" s="12">
        <f>ROUND(21.5*2.1*2,2)</f>
        <v>90.3</v>
      </c>
      <c r="H31" s="16">
        <v>31.92</v>
      </c>
      <c r="I31" s="30">
        <v>0.25</v>
      </c>
      <c r="J31" s="16">
        <f t="shared" si="7"/>
        <v>39.9</v>
      </c>
      <c r="K31" s="17">
        <f t="shared" si="8"/>
        <v>3602.97</v>
      </c>
      <c r="L31" s="18"/>
    </row>
    <row r="32" spans="2:12" x14ac:dyDescent="0.2">
      <c r="B32" s="38" t="s">
        <v>21</v>
      </c>
      <c r="C32" s="39"/>
      <c r="D32" s="39"/>
      <c r="E32" s="44" t="s">
        <v>88</v>
      </c>
      <c r="F32" s="41"/>
      <c r="G32" s="41"/>
      <c r="H32" s="41"/>
      <c r="I32" s="41"/>
      <c r="J32" s="41"/>
      <c r="K32" s="42">
        <f>K33</f>
        <v>1951.34</v>
      </c>
    </row>
    <row r="33" spans="2:12" x14ac:dyDescent="0.2">
      <c r="B33" s="13" t="s">
        <v>25</v>
      </c>
      <c r="C33" s="14"/>
      <c r="D33" s="14"/>
      <c r="E33" s="20" t="s">
        <v>89</v>
      </c>
      <c r="F33" s="21"/>
      <c r="G33" s="21"/>
      <c r="H33" s="21"/>
      <c r="I33" s="21"/>
      <c r="J33" s="21"/>
      <c r="K33" s="15">
        <f>K34</f>
        <v>1951.34</v>
      </c>
    </row>
    <row r="34" spans="2:12" ht="38.25" x14ac:dyDescent="0.2">
      <c r="B34" s="47" t="s">
        <v>91</v>
      </c>
      <c r="C34" s="32" t="s">
        <v>14</v>
      </c>
      <c r="D34" s="32">
        <v>102162</v>
      </c>
      <c r="E34" s="33" t="s">
        <v>90</v>
      </c>
      <c r="F34" s="34" t="s">
        <v>33</v>
      </c>
      <c r="G34" s="35">
        <v>3.8</v>
      </c>
      <c r="H34" s="36">
        <v>410.81</v>
      </c>
      <c r="I34" s="30">
        <v>0.25</v>
      </c>
      <c r="J34" s="16">
        <f t="shared" ref="J34:J70" si="9">ROUND((H34+H34*I34),2)</f>
        <v>513.51</v>
      </c>
      <c r="K34" s="17">
        <f t="shared" ref="K34:K70" si="10">ROUND(J34*G34,2)</f>
        <v>1951.34</v>
      </c>
      <c r="L34" s="18"/>
    </row>
    <row r="35" spans="2:12" x14ac:dyDescent="0.2">
      <c r="B35" s="38" t="s">
        <v>26</v>
      </c>
      <c r="C35" s="39"/>
      <c r="D35" s="39"/>
      <c r="E35" s="44" t="s">
        <v>92</v>
      </c>
      <c r="F35" s="41"/>
      <c r="G35" s="41"/>
      <c r="H35" s="41"/>
      <c r="I35" s="41"/>
      <c r="J35" s="41"/>
      <c r="K35" s="42">
        <f>K36</f>
        <v>3263.41</v>
      </c>
    </row>
    <row r="36" spans="2:12" x14ac:dyDescent="0.2">
      <c r="B36" s="13" t="s">
        <v>28</v>
      </c>
      <c r="C36" s="14"/>
      <c r="D36" s="14"/>
      <c r="E36" s="20" t="s">
        <v>15</v>
      </c>
      <c r="F36" s="21"/>
      <c r="G36" s="21"/>
      <c r="H36" s="21"/>
      <c r="I36" s="21"/>
      <c r="J36" s="21"/>
      <c r="K36" s="15">
        <f>SUM(K37:K40)</f>
        <v>3263.41</v>
      </c>
    </row>
    <row r="37" spans="2:12" ht="38.25" x14ac:dyDescent="0.2">
      <c r="B37" s="47" t="s">
        <v>94</v>
      </c>
      <c r="C37" s="32" t="s">
        <v>14</v>
      </c>
      <c r="D37" s="32">
        <v>97628</v>
      </c>
      <c r="E37" s="33" t="s">
        <v>93</v>
      </c>
      <c r="F37" s="34" t="s">
        <v>13</v>
      </c>
      <c r="G37" s="35">
        <f>ROUND(21*1*0.06,2)</f>
        <v>1.26</v>
      </c>
      <c r="H37" s="36">
        <v>282.79000000000002</v>
      </c>
      <c r="I37" s="30">
        <v>0.25</v>
      </c>
      <c r="J37" s="16">
        <f t="shared" si="9"/>
        <v>353.49</v>
      </c>
      <c r="K37" s="17">
        <f t="shared" si="10"/>
        <v>445.4</v>
      </c>
      <c r="L37" s="18"/>
    </row>
    <row r="38" spans="2:12" ht="63.75" x14ac:dyDescent="0.2">
      <c r="B38" s="47" t="s">
        <v>96</v>
      </c>
      <c r="C38" s="32" t="s">
        <v>14</v>
      </c>
      <c r="D38" s="32">
        <v>97084</v>
      </c>
      <c r="E38" s="33" t="s">
        <v>95</v>
      </c>
      <c r="F38" s="34" t="s">
        <v>33</v>
      </c>
      <c r="G38" s="35">
        <v>21</v>
      </c>
      <c r="H38" s="36">
        <v>0.71</v>
      </c>
      <c r="I38" s="30">
        <v>0.25</v>
      </c>
      <c r="J38" s="16">
        <f t="shared" si="9"/>
        <v>0.89</v>
      </c>
      <c r="K38" s="17">
        <f t="shared" si="10"/>
        <v>18.690000000000001</v>
      </c>
      <c r="L38" s="18"/>
    </row>
    <row r="39" spans="2:12" ht="51" x14ac:dyDescent="0.2">
      <c r="B39" s="47" t="s">
        <v>98</v>
      </c>
      <c r="C39" s="32" t="s">
        <v>14</v>
      </c>
      <c r="D39" s="32">
        <v>100324</v>
      </c>
      <c r="E39" s="33" t="s">
        <v>97</v>
      </c>
      <c r="F39" s="34" t="s">
        <v>13</v>
      </c>
      <c r="G39" s="35">
        <f>ROUND(21*1*0.1,2)</f>
        <v>2.1</v>
      </c>
      <c r="H39" s="36">
        <v>98.41</v>
      </c>
      <c r="I39" s="30">
        <v>0.25</v>
      </c>
      <c r="J39" s="16">
        <f t="shared" si="9"/>
        <v>123.01</v>
      </c>
      <c r="K39" s="17">
        <f t="shared" si="10"/>
        <v>258.32</v>
      </c>
      <c r="L39" s="18"/>
    </row>
    <row r="40" spans="2:12" ht="63.75" x14ac:dyDescent="0.2">
      <c r="B40" s="47" t="s">
        <v>100</v>
      </c>
      <c r="C40" s="32" t="s">
        <v>14</v>
      </c>
      <c r="D40" s="32">
        <v>94992</v>
      </c>
      <c r="E40" s="33" t="s">
        <v>99</v>
      </c>
      <c r="F40" s="34" t="s">
        <v>33</v>
      </c>
      <c r="G40" s="35">
        <v>21</v>
      </c>
      <c r="H40" s="36">
        <v>96.8</v>
      </c>
      <c r="I40" s="30">
        <v>0.25</v>
      </c>
      <c r="J40" s="16">
        <f t="shared" si="9"/>
        <v>121</v>
      </c>
      <c r="K40" s="17">
        <f t="shared" si="10"/>
        <v>2541</v>
      </c>
      <c r="L40" s="18"/>
    </row>
    <row r="41" spans="2:12" x14ac:dyDescent="0.2">
      <c r="B41" s="38" t="s">
        <v>35</v>
      </c>
      <c r="C41" s="39"/>
      <c r="D41" s="39"/>
      <c r="E41" s="44" t="s">
        <v>101</v>
      </c>
      <c r="F41" s="41"/>
      <c r="G41" s="41"/>
      <c r="H41" s="41"/>
      <c r="I41" s="41"/>
      <c r="J41" s="41"/>
      <c r="K41" s="42">
        <f>K42</f>
        <v>2244.1799999999998</v>
      </c>
    </row>
    <row r="42" spans="2:12" x14ac:dyDescent="0.2">
      <c r="B42" s="13" t="s">
        <v>45</v>
      </c>
      <c r="C42" s="14"/>
      <c r="D42" s="14"/>
      <c r="E42" s="20" t="s">
        <v>102</v>
      </c>
      <c r="F42" s="21"/>
      <c r="G42" s="21"/>
      <c r="H42" s="21"/>
      <c r="I42" s="21"/>
      <c r="J42" s="21"/>
      <c r="K42" s="15">
        <f>SUM(K43:K45)</f>
        <v>2244.1799999999998</v>
      </c>
    </row>
    <row r="43" spans="2:12" ht="38.25" x14ac:dyDescent="0.2">
      <c r="B43" s="47" t="s">
        <v>103</v>
      </c>
      <c r="C43" s="32" t="s">
        <v>14</v>
      </c>
      <c r="D43" s="32">
        <v>96486</v>
      </c>
      <c r="E43" s="33" t="s">
        <v>104</v>
      </c>
      <c r="F43" s="34" t="s">
        <v>33</v>
      </c>
      <c r="G43" s="35">
        <f>ROUND(3.5*0.8,2)+ROUND(6.2*0.8,2)+ROUND(1*0.8,2)+ROUND(8*0.8,2)</f>
        <v>14.96</v>
      </c>
      <c r="H43" s="36">
        <v>84.38</v>
      </c>
      <c r="I43" s="30">
        <v>0.25</v>
      </c>
      <c r="J43" s="16">
        <f t="shared" si="9"/>
        <v>105.48</v>
      </c>
      <c r="K43" s="17">
        <f t="shared" si="10"/>
        <v>1577.98</v>
      </c>
      <c r="L43" s="18"/>
    </row>
    <row r="44" spans="2:12" ht="38.25" x14ac:dyDescent="0.2">
      <c r="B44" s="47" t="s">
        <v>106</v>
      </c>
      <c r="C44" s="32" t="s">
        <v>14</v>
      </c>
      <c r="D44" s="32">
        <v>96121</v>
      </c>
      <c r="E44" s="33" t="s">
        <v>105</v>
      </c>
      <c r="F44" s="34" t="s">
        <v>23</v>
      </c>
      <c r="G44" s="35">
        <f>3.5+6.2+1+8</f>
        <v>18.7</v>
      </c>
      <c r="H44" s="36">
        <v>13.17</v>
      </c>
      <c r="I44" s="30">
        <v>0.25</v>
      </c>
      <c r="J44" s="16">
        <f t="shared" si="9"/>
        <v>16.46</v>
      </c>
      <c r="K44" s="17">
        <f t="shared" si="10"/>
        <v>307.8</v>
      </c>
      <c r="L44" s="18"/>
    </row>
    <row r="45" spans="2:12" ht="38.25" x14ac:dyDescent="0.2">
      <c r="B45" s="47" t="s">
        <v>108</v>
      </c>
      <c r="C45" s="32" t="s">
        <v>107</v>
      </c>
      <c r="D45" s="32">
        <v>6204</v>
      </c>
      <c r="E45" s="33" t="s">
        <v>109</v>
      </c>
      <c r="F45" s="34" t="s">
        <v>23</v>
      </c>
      <c r="G45" s="35">
        <v>17.5</v>
      </c>
      <c r="H45" s="36">
        <v>16.38</v>
      </c>
      <c r="I45" s="30">
        <v>0.25</v>
      </c>
      <c r="J45" s="16">
        <f t="shared" ref="J45:J65" si="11">ROUND((H45+H45*I45),2)</f>
        <v>20.48</v>
      </c>
      <c r="K45" s="17">
        <f t="shared" ref="K45:K65" si="12">ROUND(J45*G45,2)</f>
        <v>358.4</v>
      </c>
      <c r="L45" s="18"/>
    </row>
    <row r="46" spans="2:12" x14ac:dyDescent="0.2">
      <c r="B46" s="38" t="s">
        <v>43</v>
      </c>
      <c r="C46" s="39"/>
      <c r="D46" s="39"/>
      <c r="E46" s="44" t="s">
        <v>110</v>
      </c>
      <c r="F46" s="41"/>
      <c r="G46" s="41"/>
      <c r="H46" s="41"/>
      <c r="I46" s="41"/>
      <c r="J46" s="41"/>
      <c r="K46" s="42">
        <f>K47+K49+K55</f>
        <v>8268.380000000001</v>
      </c>
    </row>
    <row r="47" spans="2:12" x14ac:dyDescent="0.2">
      <c r="B47" s="13" t="s">
        <v>46</v>
      </c>
      <c r="C47" s="14"/>
      <c r="D47" s="14"/>
      <c r="E47" s="20" t="s">
        <v>15</v>
      </c>
      <c r="F47" s="21"/>
      <c r="G47" s="21"/>
      <c r="H47" s="21"/>
      <c r="I47" s="21"/>
      <c r="J47" s="21"/>
      <c r="K47" s="15">
        <f>SUM(K48)</f>
        <v>1060.47</v>
      </c>
    </row>
    <row r="48" spans="2:12" ht="38.25" x14ac:dyDescent="0.2">
      <c r="B48" s="47" t="s">
        <v>111</v>
      </c>
      <c r="C48" s="32" t="s">
        <v>14</v>
      </c>
      <c r="D48" s="32">
        <v>97628</v>
      </c>
      <c r="E48" s="33" t="s">
        <v>93</v>
      </c>
      <c r="F48" s="34" t="s">
        <v>13</v>
      </c>
      <c r="G48" s="35">
        <f>ROUND(6*5*0.1,2)</f>
        <v>3</v>
      </c>
      <c r="H48" s="36">
        <v>282.79000000000002</v>
      </c>
      <c r="I48" s="30">
        <v>0.25</v>
      </c>
      <c r="J48" s="16">
        <f t="shared" si="11"/>
        <v>353.49</v>
      </c>
      <c r="K48" s="17">
        <f t="shared" si="12"/>
        <v>1060.47</v>
      </c>
      <c r="L48" s="18"/>
    </row>
    <row r="49" spans="2:12" x14ac:dyDescent="0.2">
      <c r="B49" s="13" t="s">
        <v>114</v>
      </c>
      <c r="C49" s="14"/>
      <c r="D49" s="14"/>
      <c r="E49" s="20" t="s">
        <v>113</v>
      </c>
      <c r="F49" s="21"/>
      <c r="G49" s="21"/>
      <c r="H49" s="21"/>
      <c r="I49" s="21"/>
      <c r="J49" s="21"/>
      <c r="K49" s="15">
        <f>SUM(K50:K54)</f>
        <v>7085.84</v>
      </c>
    </row>
    <row r="50" spans="2:12" ht="63.75" x14ac:dyDescent="0.2">
      <c r="B50" s="47" t="s">
        <v>115</v>
      </c>
      <c r="C50" s="32" t="s">
        <v>14</v>
      </c>
      <c r="D50" s="32">
        <v>97084</v>
      </c>
      <c r="E50" s="33" t="s">
        <v>95</v>
      </c>
      <c r="F50" s="34" t="s">
        <v>33</v>
      </c>
      <c r="G50" s="35">
        <v>30</v>
      </c>
      <c r="H50" s="36">
        <v>0.71</v>
      </c>
      <c r="I50" s="30">
        <v>0.25</v>
      </c>
      <c r="J50" s="16">
        <f t="shared" ref="J50" si="13">ROUND((H50+H50*I50),2)</f>
        <v>0.89</v>
      </c>
      <c r="K50" s="17">
        <f t="shared" ref="K50" si="14">ROUND(J50*G50,2)</f>
        <v>26.7</v>
      </c>
      <c r="L50" s="18"/>
    </row>
    <row r="51" spans="2:12" ht="63.75" x14ac:dyDescent="0.2">
      <c r="B51" s="47" t="s">
        <v>116</v>
      </c>
      <c r="C51" s="32" t="s">
        <v>14</v>
      </c>
      <c r="D51" s="32">
        <v>94992</v>
      </c>
      <c r="E51" s="33" t="s">
        <v>99</v>
      </c>
      <c r="F51" s="34" t="s">
        <v>33</v>
      </c>
      <c r="G51" s="35">
        <v>30</v>
      </c>
      <c r="H51" s="36">
        <v>96.8</v>
      </c>
      <c r="I51" s="30">
        <v>0.25</v>
      </c>
      <c r="J51" s="16">
        <f t="shared" si="11"/>
        <v>121</v>
      </c>
      <c r="K51" s="17">
        <f t="shared" si="12"/>
        <v>3630</v>
      </c>
      <c r="L51" s="18"/>
    </row>
    <row r="52" spans="2:12" ht="63.75" x14ac:dyDescent="0.2">
      <c r="B52" s="47" t="s">
        <v>121</v>
      </c>
      <c r="C52" s="32" t="s">
        <v>14</v>
      </c>
      <c r="D52" s="32">
        <v>87257</v>
      </c>
      <c r="E52" s="33" t="s">
        <v>112</v>
      </c>
      <c r="F52" s="34" t="s">
        <v>33</v>
      </c>
      <c r="G52" s="35">
        <v>30</v>
      </c>
      <c r="H52" s="36">
        <v>78.58</v>
      </c>
      <c r="I52" s="30">
        <v>0.25</v>
      </c>
      <c r="J52" s="16">
        <f t="shared" si="11"/>
        <v>98.23</v>
      </c>
      <c r="K52" s="17">
        <f t="shared" si="12"/>
        <v>2946.9</v>
      </c>
      <c r="L52" s="18"/>
    </row>
    <row r="53" spans="2:12" ht="38.25" x14ac:dyDescent="0.2">
      <c r="B53" s="47" t="s">
        <v>122</v>
      </c>
      <c r="C53" s="32" t="s">
        <v>14</v>
      </c>
      <c r="D53" s="32">
        <v>88650</v>
      </c>
      <c r="E53" s="33" t="s">
        <v>123</v>
      </c>
      <c r="F53" s="34" t="s">
        <v>23</v>
      </c>
      <c r="G53" s="35">
        <f>6+5+5+5</f>
        <v>21</v>
      </c>
      <c r="H53" s="36">
        <v>14.31</v>
      </c>
      <c r="I53" s="30">
        <v>0.25</v>
      </c>
      <c r="J53" s="16">
        <f t="shared" ref="J53:J54" si="15">ROUND((H53+H53*I53),2)</f>
        <v>17.89</v>
      </c>
      <c r="K53" s="17">
        <f t="shared" ref="K53:K54" si="16">ROUND(J53*G53,2)</f>
        <v>375.69</v>
      </c>
      <c r="L53" s="18"/>
    </row>
    <row r="54" spans="2:12" ht="25.5" x14ac:dyDescent="0.2">
      <c r="B54" s="47" t="s">
        <v>134</v>
      </c>
      <c r="C54" s="32" t="s">
        <v>14</v>
      </c>
      <c r="D54" s="32">
        <v>98689</v>
      </c>
      <c r="E54" s="33" t="s">
        <v>135</v>
      </c>
      <c r="F54" s="34" t="s">
        <v>23</v>
      </c>
      <c r="G54" s="35">
        <v>0.8</v>
      </c>
      <c r="H54" s="36">
        <v>106.55</v>
      </c>
      <c r="I54" s="30">
        <v>0.25</v>
      </c>
      <c r="J54" s="16">
        <f t="shared" si="15"/>
        <v>133.19</v>
      </c>
      <c r="K54" s="17">
        <f t="shared" si="16"/>
        <v>106.55</v>
      </c>
      <c r="L54" s="18"/>
    </row>
    <row r="55" spans="2:12" x14ac:dyDescent="0.2">
      <c r="B55" s="13" t="s">
        <v>119</v>
      </c>
      <c r="C55" s="14"/>
      <c r="D55" s="14"/>
      <c r="E55" s="20" t="s">
        <v>118</v>
      </c>
      <c r="F55" s="21"/>
      <c r="G55" s="21"/>
      <c r="H55" s="21"/>
      <c r="I55" s="21"/>
      <c r="J55" s="21"/>
      <c r="K55" s="15">
        <f>SUM(K56)</f>
        <v>122.07</v>
      </c>
    </row>
    <row r="56" spans="2:12" ht="102" x14ac:dyDescent="0.2">
      <c r="B56" s="47" t="s">
        <v>120</v>
      </c>
      <c r="C56" s="32" t="s">
        <v>14</v>
      </c>
      <c r="D56" s="32">
        <v>89048</v>
      </c>
      <c r="E56" s="33" t="s">
        <v>117</v>
      </c>
      <c r="F56" s="34" t="s">
        <v>33</v>
      </c>
      <c r="G56" s="35">
        <v>3</v>
      </c>
      <c r="H56" s="36">
        <v>32.549999999999997</v>
      </c>
      <c r="I56" s="30">
        <v>0.25</v>
      </c>
      <c r="J56" s="16">
        <f t="shared" si="11"/>
        <v>40.69</v>
      </c>
      <c r="K56" s="17">
        <f t="shared" si="12"/>
        <v>122.07</v>
      </c>
      <c r="L56" s="18"/>
    </row>
    <row r="57" spans="2:12" x14ac:dyDescent="0.2">
      <c r="B57" s="38" t="s">
        <v>48</v>
      </c>
      <c r="C57" s="39"/>
      <c r="D57" s="39"/>
      <c r="E57" s="44" t="s">
        <v>124</v>
      </c>
      <c r="F57" s="41"/>
      <c r="G57" s="41"/>
      <c r="H57" s="41"/>
      <c r="I57" s="41"/>
      <c r="J57" s="41"/>
      <c r="K57" s="42">
        <f>K58+K61+K64+K66+K68</f>
        <v>5616.5599999999995</v>
      </c>
    </row>
    <row r="58" spans="2:12" x14ac:dyDescent="0.2">
      <c r="B58" s="13" t="s">
        <v>50</v>
      </c>
      <c r="C58" s="14"/>
      <c r="D58" s="14"/>
      <c r="E58" s="20" t="s">
        <v>15</v>
      </c>
      <c r="F58" s="21"/>
      <c r="G58" s="21"/>
      <c r="H58" s="21"/>
      <c r="I58" s="21"/>
      <c r="J58" s="21"/>
      <c r="K58" s="15">
        <f>SUM(K59:K60)</f>
        <v>156.67000000000002</v>
      </c>
    </row>
    <row r="59" spans="2:12" ht="38.25" x14ac:dyDescent="0.2">
      <c r="B59" s="47" t="s">
        <v>125</v>
      </c>
      <c r="C59" s="32" t="s">
        <v>14</v>
      </c>
      <c r="D59" s="32">
        <v>97621</v>
      </c>
      <c r="E59" s="33" t="s">
        <v>127</v>
      </c>
      <c r="F59" s="34" t="s">
        <v>13</v>
      </c>
      <c r="G59" s="35">
        <f>ROUND(2*1.5*0.15*2,2)</f>
        <v>0.9</v>
      </c>
      <c r="H59" s="36">
        <v>117.41</v>
      </c>
      <c r="I59" s="30">
        <v>0.25</v>
      </c>
      <c r="J59" s="16">
        <f t="shared" si="11"/>
        <v>146.76</v>
      </c>
      <c r="K59" s="17">
        <f t="shared" si="12"/>
        <v>132.08000000000001</v>
      </c>
      <c r="L59" s="18"/>
    </row>
    <row r="60" spans="2:12" ht="38.25" x14ac:dyDescent="0.2">
      <c r="B60" s="47" t="s">
        <v>136</v>
      </c>
      <c r="C60" s="32" t="s">
        <v>14</v>
      </c>
      <c r="D60" s="32">
        <v>97644</v>
      </c>
      <c r="E60" s="33" t="s">
        <v>148</v>
      </c>
      <c r="F60" s="34" t="s">
        <v>33</v>
      </c>
      <c r="G60" s="35">
        <v>2.1</v>
      </c>
      <c r="H60" s="36">
        <v>9.3699999999999992</v>
      </c>
      <c r="I60" s="30">
        <v>0.25</v>
      </c>
      <c r="J60" s="16">
        <f t="shared" ref="J60" si="17">ROUND((H60+H60*I60),2)</f>
        <v>11.71</v>
      </c>
      <c r="K60" s="17">
        <f t="shared" ref="K60" si="18">ROUND(J60*G60,2)</f>
        <v>24.59</v>
      </c>
      <c r="L60" s="18"/>
    </row>
    <row r="61" spans="2:12" x14ac:dyDescent="0.2">
      <c r="B61" s="13" t="s">
        <v>51</v>
      </c>
      <c r="C61" s="14"/>
      <c r="D61" s="14"/>
      <c r="E61" s="20" t="s">
        <v>128</v>
      </c>
      <c r="F61" s="21"/>
      <c r="G61" s="21"/>
      <c r="H61" s="21"/>
      <c r="I61" s="21"/>
      <c r="J61" s="21"/>
      <c r="K61" s="15">
        <f>SUM(K62:K63)</f>
        <v>1430.6</v>
      </c>
    </row>
    <row r="62" spans="2:12" ht="38.25" x14ac:dyDescent="0.2">
      <c r="B62" s="47" t="s">
        <v>131</v>
      </c>
      <c r="C62" s="32" t="s">
        <v>14</v>
      </c>
      <c r="D62" s="32">
        <v>93197</v>
      </c>
      <c r="E62" s="33" t="s">
        <v>129</v>
      </c>
      <c r="F62" s="34" t="s">
        <v>23</v>
      </c>
      <c r="G62" s="35">
        <v>5</v>
      </c>
      <c r="H62" s="36">
        <v>111.73</v>
      </c>
      <c r="I62" s="30">
        <v>0.25</v>
      </c>
      <c r="J62" s="16">
        <f t="shared" si="11"/>
        <v>139.66</v>
      </c>
      <c r="K62" s="17">
        <f t="shared" si="12"/>
        <v>698.3</v>
      </c>
      <c r="L62" s="18"/>
    </row>
    <row r="63" spans="2:12" ht="38.25" x14ac:dyDescent="0.2">
      <c r="B63" s="47" t="s">
        <v>132</v>
      </c>
      <c r="C63" s="32" t="s">
        <v>14</v>
      </c>
      <c r="D63" s="32">
        <v>93189</v>
      </c>
      <c r="E63" s="33" t="s">
        <v>130</v>
      </c>
      <c r="F63" s="34" t="s">
        <v>23</v>
      </c>
      <c r="G63" s="35">
        <v>5</v>
      </c>
      <c r="H63" s="36">
        <v>117.17</v>
      </c>
      <c r="I63" s="30">
        <v>0.25</v>
      </c>
      <c r="J63" s="16">
        <f t="shared" si="11"/>
        <v>146.46</v>
      </c>
      <c r="K63" s="17">
        <f t="shared" si="12"/>
        <v>732.3</v>
      </c>
      <c r="L63" s="18"/>
    </row>
    <row r="64" spans="2:12" x14ac:dyDescent="0.2">
      <c r="B64" s="13" t="s">
        <v>52</v>
      </c>
      <c r="C64" s="14"/>
      <c r="D64" s="14"/>
      <c r="E64" s="20" t="s">
        <v>133</v>
      </c>
      <c r="F64" s="21"/>
      <c r="G64" s="21"/>
      <c r="H64" s="21"/>
      <c r="I64" s="21"/>
      <c r="J64" s="21"/>
      <c r="K64" s="15">
        <f>SUM(K65)</f>
        <v>532.76</v>
      </c>
    </row>
    <row r="65" spans="2:12" ht="25.5" x14ac:dyDescent="0.2">
      <c r="B65" s="47" t="s">
        <v>134</v>
      </c>
      <c r="C65" s="32" t="s">
        <v>14</v>
      </c>
      <c r="D65" s="32">
        <v>98689</v>
      </c>
      <c r="E65" s="33" t="s">
        <v>135</v>
      </c>
      <c r="F65" s="34" t="s">
        <v>23</v>
      </c>
      <c r="G65" s="35">
        <v>4</v>
      </c>
      <c r="H65" s="36">
        <v>106.55</v>
      </c>
      <c r="I65" s="30">
        <v>0.25</v>
      </c>
      <c r="J65" s="16">
        <f t="shared" si="11"/>
        <v>133.19</v>
      </c>
      <c r="K65" s="17">
        <f t="shared" si="12"/>
        <v>532.76</v>
      </c>
      <c r="L65" s="18"/>
    </row>
    <row r="66" spans="2:12" x14ac:dyDescent="0.2">
      <c r="B66" s="13" t="s">
        <v>53</v>
      </c>
      <c r="C66" s="14"/>
      <c r="D66" s="14"/>
      <c r="E66" s="20" t="s">
        <v>137</v>
      </c>
      <c r="F66" s="21"/>
      <c r="G66" s="21"/>
      <c r="H66" s="21"/>
      <c r="I66" s="21"/>
      <c r="J66" s="21"/>
      <c r="K66" s="15">
        <f>SUM(K67)</f>
        <v>2167.12</v>
      </c>
    </row>
    <row r="67" spans="2:12" ht="38.25" x14ac:dyDescent="0.2">
      <c r="B67" s="47" t="s">
        <v>138</v>
      </c>
      <c r="C67" s="32" t="s">
        <v>146</v>
      </c>
      <c r="D67" s="32" t="s">
        <v>147</v>
      </c>
      <c r="E67" s="33" t="s">
        <v>149</v>
      </c>
      <c r="F67" s="34" t="s">
        <v>143</v>
      </c>
      <c r="G67" s="35">
        <v>2</v>
      </c>
      <c r="H67" s="36">
        <v>866.85</v>
      </c>
      <c r="I67" s="30">
        <v>0.25</v>
      </c>
      <c r="J67" s="16">
        <f t="shared" ref="J67" si="19">ROUND((H67+H67*I67),2)</f>
        <v>1083.56</v>
      </c>
      <c r="K67" s="17">
        <f t="shared" ref="K67" si="20">ROUND(J67*G67,2)</f>
        <v>2167.12</v>
      </c>
      <c r="L67" s="18"/>
    </row>
    <row r="68" spans="2:12" x14ac:dyDescent="0.2">
      <c r="B68" s="13" t="s">
        <v>140</v>
      </c>
      <c r="C68" s="14"/>
      <c r="D68" s="14"/>
      <c r="E68" s="20" t="s">
        <v>139</v>
      </c>
      <c r="F68" s="21"/>
      <c r="G68" s="21"/>
      <c r="H68" s="21"/>
      <c r="I68" s="21"/>
      <c r="J68" s="21"/>
      <c r="K68" s="15">
        <f>SUM(K69:K70)</f>
        <v>1329.41</v>
      </c>
    </row>
    <row r="69" spans="2:12" ht="89.25" x14ac:dyDescent="0.2">
      <c r="B69" s="47" t="s">
        <v>141</v>
      </c>
      <c r="C69" s="32" t="s">
        <v>14</v>
      </c>
      <c r="D69" s="32">
        <v>90843</v>
      </c>
      <c r="E69" s="33" t="s">
        <v>142</v>
      </c>
      <c r="F69" s="34" t="s">
        <v>143</v>
      </c>
      <c r="G69" s="35">
        <v>1</v>
      </c>
      <c r="H69" s="36">
        <v>966.39</v>
      </c>
      <c r="I69" s="30">
        <v>0.25</v>
      </c>
      <c r="J69" s="16">
        <f t="shared" ref="J69" si="21">ROUND((H69+H69*I69),2)</f>
        <v>1207.99</v>
      </c>
      <c r="K69" s="17">
        <f t="shared" ref="K69" si="22">ROUND(J69*G69,2)</f>
        <v>1207.99</v>
      </c>
      <c r="L69" s="18"/>
    </row>
    <row r="70" spans="2:12" ht="38.25" x14ac:dyDescent="0.2">
      <c r="B70" s="47" t="s">
        <v>145</v>
      </c>
      <c r="C70" s="32" t="s">
        <v>14</v>
      </c>
      <c r="D70" s="32">
        <v>102228</v>
      </c>
      <c r="E70" s="33" t="s">
        <v>144</v>
      </c>
      <c r="F70" s="34" t="s">
        <v>33</v>
      </c>
      <c r="G70" s="35">
        <v>4.2</v>
      </c>
      <c r="H70" s="36">
        <v>23.13</v>
      </c>
      <c r="I70" s="30">
        <v>0.25</v>
      </c>
      <c r="J70" s="16">
        <f t="shared" si="9"/>
        <v>28.91</v>
      </c>
      <c r="K70" s="17">
        <f t="shared" si="10"/>
        <v>121.42</v>
      </c>
      <c r="L70" s="18"/>
    </row>
    <row r="71" spans="2:12" x14ac:dyDescent="0.2">
      <c r="B71" s="38" t="s">
        <v>55</v>
      </c>
      <c r="C71" s="39"/>
      <c r="D71" s="39"/>
      <c r="E71" s="44" t="s">
        <v>150</v>
      </c>
      <c r="F71" s="41"/>
      <c r="G71" s="41"/>
      <c r="H71" s="41"/>
      <c r="I71" s="41"/>
      <c r="J71" s="41"/>
      <c r="K71" s="42">
        <f>K72+K75+K79+K81+K84</f>
        <v>7620.0400000000009</v>
      </c>
    </row>
    <row r="72" spans="2:12" x14ac:dyDescent="0.2">
      <c r="B72" s="13" t="s">
        <v>57</v>
      </c>
      <c r="C72" s="14"/>
      <c r="D72" s="14"/>
      <c r="E72" s="20" t="s">
        <v>15</v>
      </c>
      <c r="F72" s="21"/>
      <c r="G72" s="21"/>
      <c r="H72" s="21"/>
      <c r="I72" s="21"/>
      <c r="J72" s="21"/>
      <c r="K72" s="15">
        <f>SUM(K73:K74)</f>
        <v>91.509999999999991</v>
      </c>
    </row>
    <row r="73" spans="2:12" ht="51" x14ac:dyDescent="0.2">
      <c r="B73" s="47" t="s">
        <v>155</v>
      </c>
      <c r="C73" s="32" t="s">
        <v>14</v>
      </c>
      <c r="D73" s="32">
        <v>97637</v>
      </c>
      <c r="E73" s="33" t="s">
        <v>151</v>
      </c>
      <c r="F73" s="34" t="s">
        <v>33</v>
      </c>
      <c r="G73" s="35">
        <f>ROUND(5.6*2.1,2)</f>
        <v>11.76</v>
      </c>
      <c r="H73" s="36">
        <v>2.8</v>
      </c>
      <c r="I73" s="30">
        <v>0.25</v>
      </c>
      <c r="J73" s="16">
        <f t="shared" ref="J73:J97" si="23">ROUND((H73+H73*I73),2)</f>
        <v>3.5</v>
      </c>
      <c r="K73" s="17">
        <f t="shared" ref="K73:K97" si="24">ROUND(J73*G73,2)</f>
        <v>41.16</v>
      </c>
      <c r="L73" s="18"/>
    </row>
    <row r="74" spans="2:12" ht="38.25" x14ac:dyDescent="0.2">
      <c r="B74" s="47" t="s">
        <v>156</v>
      </c>
      <c r="C74" s="32" t="s">
        <v>14</v>
      </c>
      <c r="D74" s="32">
        <v>97644</v>
      </c>
      <c r="E74" s="33" t="s">
        <v>148</v>
      </c>
      <c r="F74" s="34" t="s">
        <v>33</v>
      </c>
      <c r="G74" s="35">
        <f>ROUND(2*2.15,2)</f>
        <v>4.3</v>
      </c>
      <c r="H74" s="36">
        <v>9.3699999999999992</v>
      </c>
      <c r="I74" s="30">
        <v>0.25</v>
      </c>
      <c r="J74" s="16">
        <f t="shared" si="23"/>
        <v>11.71</v>
      </c>
      <c r="K74" s="17">
        <f t="shared" si="24"/>
        <v>50.35</v>
      </c>
      <c r="L74" s="18"/>
    </row>
    <row r="75" spans="2:12" x14ac:dyDescent="0.2">
      <c r="B75" s="13" t="s">
        <v>58</v>
      </c>
      <c r="C75" s="14"/>
      <c r="D75" s="14"/>
      <c r="E75" s="20" t="s">
        <v>113</v>
      </c>
      <c r="F75" s="21"/>
      <c r="G75" s="21"/>
      <c r="H75" s="21"/>
      <c r="I75" s="21"/>
      <c r="J75" s="21"/>
      <c r="K75" s="15">
        <f>SUM(K76:K78)</f>
        <v>2837.0800000000004</v>
      </c>
    </row>
    <row r="76" spans="2:12" ht="63.75" x14ac:dyDescent="0.2">
      <c r="B76" s="47" t="s">
        <v>157</v>
      </c>
      <c r="C76" s="32" t="s">
        <v>14</v>
      </c>
      <c r="D76" s="32">
        <v>87257</v>
      </c>
      <c r="E76" s="33" t="s">
        <v>112</v>
      </c>
      <c r="F76" s="34" t="s">
        <v>33</v>
      </c>
      <c r="G76" s="35">
        <f>ROUND(3.2*2.7,2)+ROUND(2.9*4.5,2)</f>
        <v>21.69</v>
      </c>
      <c r="H76" s="36">
        <v>78.58</v>
      </c>
      <c r="I76" s="30">
        <v>0.25</v>
      </c>
      <c r="J76" s="16">
        <f t="shared" ref="J76:J93" si="25">ROUND((H76+H76*I76),2)</f>
        <v>98.23</v>
      </c>
      <c r="K76" s="17">
        <f t="shared" ref="K76:K93" si="26">ROUND(J76*G76,2)</f>
        <v>2130.61</v>
      </c>
      <c r="L76" s="18"/>
    </row>
    <row r="77" spans="2:12" ht="38.25" x14ac:dyDescent="0.2">
      <c r="B77" s="47" t="s">
        <v>158</v>
      </c>
      <c r="C77" s="32" t="s">
        <v>14</v>
      </c>
      <c r="D77" s="32">
        <v>88650</v>
      </c>
      <c r="E77" s="33" t="s">
        <v>123</v>
      </c>
      <c r="F77" s="34" t="s">
        <v>23</v>
      </c>
      <c r="G77" s="35">
        <f>2.7+3.2+2.7+3.2+2.9+2.9+4.5+4.5-2</f>
        <v>24.6</v>
      </c>
      <c r="H77" s="36">
        <v>14.31</v>
      </c>
      <c r="I77" s="30">
        <v>0.25</v>
      </c>
      <c r="J77" s="16">
        <f t="shared" si="25"/>
        <v>17.89</v>
      </c>
      <c r="K77" s="17">
        <f t="shared" si="26"/>
        <v>440.09</v>
      </c>
      <c r="L77" s="18"/>
    </row>
    <row r="78" spans="2:12" ht="25.5" x14ac:dyDescent="0.2">
      <c r="B78" s="47" t="s">
        <v>166</v>
      </c>
      <c r="C78" s="32" t="s">
        <v>14</v>
      </c>
      <c r="D78" s="32">
        <v>98689</v>
      </c>
      <c r="E78" s="33" t="s">
        <v>135</v>
      </c>
      <c r="F78" s="34" t="s">
        <v>23</v>
      </c>
      <c r="G78" s="35">
        <v>2</v>
      </c>
      <c r="H78" s="36">
        <v>106.55</v>
      </c>
      <c r="I78" s="30">
        <v>0.25</v>
      </c>
      <c r="J78" s="16">
        <f t="shared" ref="J78" si="27">ROUND((H78+H78*I78),2)</f>
        <v>133.19</v>
      </c>
      <c r="K78" s="17">
        <f t="shared" ref="K78" si="28">ROUND(J78*G78,2)</f>
        <v>266.38</v>
      </c>
      <c r="L78" s="18"/>
    </row>
    <row r="79" spans="2:12" x14ac:dyDescent="0.2">
      <c r="B79" s="13" t="s">
        <v>159</v>
      </c>
      <c r="C79" s="14"/>
      <c r="D79" s="14"/>
      <c r="E79" s="20" t="s">
        <v>44</v>
      </c>
      <c r="F79" s="21"/>
      <c r="G79" s="21"/>
      <c r="H79" s="21"/>
      <c r="I79" s="21"/>
      <c r="J79" s="21"/>
      <c r="K79" s="15">
        <f>SUM(K80)</f>
        <v>1380.51</v>
      </c>
    </row>
    <row r="80" spans="2:12" ht="89.25" x14ac:dyDescent="0.2">
      <c r="B80" s="47" t="s">
        <v>160</v>
      </c>
      <c r="C80" s="32" t="s">
        <v>14</v>
      </c>
      <c r="D80" s="32">
        <v>89168</v>
      </c>
      <c r="E80" s="33" t="s">
        <v>126</v>
      </c>
      <c r="F80" s="34" t="s">
        <v>33</v>
      </c>
      <c r="G80" s="35">
        <f>ROUND(5.6*2.1,2)</f>
        <v>11.76</v>
      </c>
      <c r="H80" s="36">
        <v>93.91</v>
      </c>
      <c r="I80" s="30">
        <v>0.25</v>
      </c>
      <c r="J80" s="16">
        <f t="shared" si="25"/>
        <v>117.39</v>
      </c>
      <c r="K80" s="17">
        <f t="shared" si="26"/>
        <v>1380.51</v>
      </c>
      <c r="L80" s="18"/>
    </row>
    <row r="81" spans="2:14" x14ac:dyDescent="0.2">
      <c r="B81" s="13" t="s">
        <v>161</v>
      </c>
      <c r="C81" s="14"/>
      <c r="D81" s="14"/>
      <c r="E81" s="20" t="s">
        <v>54</v>
      </c>
      <c r="F81" s="21"/>
      <c r="G81" s="21"/>
      <c r="H81" s="21"/>
      <c r="I81" s="21"/>
      <c r="J81" s="21"/>
      <c r="K81" s="15">
        <f>SUM(K82:K83)</f>
        <v>1050.8800000000001</v>
      </c>
      <c r="L81" s="18"/>
    </row>
    <row r="82" spans="2:14" ht="63.75" x14ac:dyDescent="0.2">
      <c r="B82" s="46" t="s">
        <v>162</v>
      </c>
      <c r="C82" s="29" t="s">
        <v>14</v>
      </c>
      <c r="D82" s="29">
        <v>87879</v>
      </c>
      <c r="E82" s="28" t="s">
        <v>56</v>
      </c>
      <c r="F82" s="11" t="s">
        <v>33</v>
      </c>
      <c r="G82" s="12">
        <f>G80*2</f>
        <v>23.52</v>
      </c>
      <c r="H82" s="16">
        <v>3.82</v>
      </c>
      <c r="I82" s="30">
        <v>0.25</v>
      </c>
      <c r="J82" s="16">
        <f t="shared" ref="J82:J83" si="29">ROUND((H82+H82*I82),2)</f>
        <v>4.78</v>
      </c>
      <c r="K82" s="17">
        <f t="shared" ref="K82:K83" si="30">ROUND(J82*G82,2)</f>
        <v>112.43</v>
      </c>
      <c r="L82" s="18"/>
    </row>
    <row r="83" spans="2:14" ht="102" x14ac:dyDescent="0.2">
      <c r="B83" s="46" t="s">
        <v>163</v>
      </c>
      <c r="C83" s="29" t="s">
        <v>14</v>
      </c>
      <c r="D83" s="29">
        <v>89173</v>
      </c>
      <c r="E83" s="28" t="s">
        <v>59</v>
      </c>
      <c r="F83" s="11" t="s">
        <v>33</v>
      </c>
      <c r="G83" s="12">
        <f>G82</f>
        <v>23.52</v>
      </c>
      <c r="H83" s="16">
        <v>31.92</v>
      </c>
      <c r="I83" s="30">
        <v>0.25</v>
      </c>
      <c r="J83" s="16">
        <f t="shared" si="29"/>
        <v>39.9</v>
      </c>
      <c r="K83" s="17">
        <f t="shared" si="30"/>
        <v>938.45</v>
      </c>
      <c r="L83" s="18"/>
    </row>
    <row r="84" spans="2:14" x14ac:dyDescent="0.2">
      <c r="B84" s="13" t="s">
        <v>164</v>
      </c>
      <c r="C84" s="14"/>
      <c r="D84" s="14"/>
      <c r="E84" s="20" t="s">
        <v>139</v>
      </c>
      <c r="F84" s="21"/>
      <c r="G84" s="21"/>
      <c r="H84" s="21"/>
      <c r="I84" s="21"/>
      <c r="J84" s="21"/>
      <c r="K84" s="15">
        <f>SUM(K85)</f>
        <v>2260.06</v>
      </c>
      <c r="L84" s="18"/>
    </row>
    <row r="85" spans="2:14" ht="38.25" x14ac:dyDescent="0.2">
      <c r="B85" s="47" t="s">
        <v>165</v>
      </c>
      <c r="C85" s="32" t="s">
        <v>146</v>
      </c>
      <c r="D85" s="32" t="s">
        <v>152</v>
      </c>
      <c r="E85" s="33" t="s">
        <v>153</v>
      </c>
      <c r="F85" s="34" t="s">
        <v>143</v>
      </c>
      <c r="G85" s="35">
        <v>1</v>
      </c>
      <c r="H85" s="36">
        <v>1808.05</v>
      </c>
      <c r="I85" s="30">
        <v>0.25</v>
      </c>
      <c r="J85" s="16">
        <f t="shared" si="25"/>
        <v>2260.06</v>
      </c>
      <c r="K85" s="17">
        <f t="shared" si="26"/>
        <v>2260.06</v>
      </c>
      <c r="L85" s="18"/>
      <c r="N85" s="43"/>
    </row>
    <row r="86" spans="2:14" x14ac:dyDescent="0.2">
      <c r="B86" s="38" t="s">
        <v>60</v>
      </c>
      <c r="C86" s="39"/>
      <c r="D86" s="39"/>
      <c r="E86" s="44" t="s">
        <v>154</v>
      </c>
      <c r="F86" s="41"/>
      <c r="G86" s="41"/>
      <c r="H86" s="41"/>
      <c r="I86" s="41"/>
      <c r="J86" s="41"/>
      <c r="K86" s="42">
        <f>K87+K91+K95+K98+K102+K105</f>
        <v>8814.01</v>
      </c>
    </row>
    <row r="87" spans="2:14" x14ac:dyDescent="0.2">
      <c r="B87" s="13" t="s">
        <v>61</v>
      </c>
      <c r="C87" s="14"/>
      <c r="D87" s="14"/>
      <c r="E87" s="20" t="s">
        <v>15</v>
      </c>
      <c r="F87" s="21"/>
      <c r="G87" s="21"/>
      <c r="H87" s="21"/>
      <c r="I87" s="21"/>
      <c r="J87" s="21"/>
      <c r="K87" s="15">
        <f>SUM(K88:K90)</f>
        <v>283.49</v>
      </c>
      <c r="L87" s="18"/>
    </row>
    <row r="88" spans="2:14" ht="38.25" x14ac:dyDescent="0.2">
      <c r="B88" s="47" t="s">
        <v>169</v>
      </c>
      <c r="C88" s="29" t="s">
        <v>14</v>
      </c>
      <c r="D88" s="32">
        <v>97633</v>
      </c>
      <c r="E88" s="33" t="s">
        <v>167</v>
      </c>
      <c r="F88" s="34" t="s">
        <v>33</v>
      </c>
      <c r="G88" s="35">
        <f>ROUND(2.5*1.5*2,2)</f>
        <v>7.5</v>
      </c>
      <c r="H88" s="36">
        <v>22.94</v>
      </c>
      <c r="I88" s="30">
        <v>0.25</v>
      </c>
      <c r="J88" s="16">
        <f t="shared" si="25"/>
        <v>28.68</v>
      </c>
      <c r="K88" s="17">
        <f t="shared" si="26"/>
        <v>215.1</v>
      </c>
      <c r="L88" s="18"/>
    </row>
    <row r="89" spans="2:14" ht="38.25" x14ac:dyDescent="0.2">
      <c r="B89" s="47" t="s">
        <v>170</v>
      </c>
      <c r="C89" s="29" t="s">
        <v>14</v>
      </c>
      <c r="D89" s="32">
        <v>97631</v>
      </c>
      <c r="E89" s="33" t="s">
        <v>168</v>
      </c>
      <c r="F89" s="34" t="s">
        <v>33</v>
      </c>
      <c r="G89" s="35">
        <f>ROUND(2.5*1.5*2,2)</f>
        <v>7.5</v>
      </c>
      <c r="H89" s="36">
        <v>3.36</v>
      </c>
      <c r="I89" s="30">
        <v>0.25</v>
      </c>
      <c r="J89" s="16">
        <f t="shared" si="25"/>
        <v>4.2</v>
      </c>
      <c r="K89" s="17">
        <f t="shared" si="26"/>
        <v>31.5</v>
      </c>
      <c r="L89" s="18"/>
    </row>
    <row r="90" spans="2:14" ht="38.25" x14ac:dyDescent="0.2">
      <c r="B90" s="47" t="s">
        <v>174</v>
      </c>
      <c r="C90" s="29" t="s">
        <v>14</v>
      </c>
      <c r="D90" s="32">
        <v>97644</v>
      </c>
      <c r="E90" s="33" t="s">
        <v>148</v>
      </c>
      <c r="F90" s="34" t="s">
        <v>33</v>
      </c>
      <c r="G90" s="35">
        <f>ROUND(1.5*2.1,2)</f>
        <v>3.15</v>
      </c>
      <c r="H90" s="36">
        <v>9.3699999999999992</v>
      </c>
      <c r="I90" s="30">
        <v>0.25</v>
      </c>
      <c r="J90" s="16">
        <f t="shared" si="25"/>
        <v>11.71</v>
      </c>
      <c r="K90" s="17">
        <f t="shared" si="26"/>
        <v>36.89</v>
      </c>
      <c r="L90" s="18"/>
    </row>
    <row r="91" spans="2:14" x14ac:dyDescent="0.2">
      <c r="B91" s="13" t="s">
        <v>62</v>
      </c>
      <c r="C91" s="14"/>
      <c r="D91" s="14"/>
      <c r="E91" s="20" t="s">
        <v>173</v>
      </c>
      <c r="F91" s="21"/>
      <c r="G91" s="21"/>
      <c r="H91" s="21"/>
      <c r="I91" s="21"/>
      <c r="J91" s="21"/>
      <c r="K91" s="15">
        <f>SUM(K92:K94)</f>
        <v>917.46</v>
      </c>
      <c r="L91" s="18"/>
    </row>
    <row r="92" spans="2:14" ht="63.75" x14ac:dyDescent="0.2">
      <c r="B92" s="47" t="s">
        <v>175</v>
      </c>
      <c r="C92" s="29" t="s">
        <v>14</v>
      </c>
      <c r="D92" s="32">
        <v>89957</v>
      </c>
      <c r="E92" s="33" t="s">
        <v>171</v>
      </c>
      <c r="F92" s="34" t="s">
        <v>143</v>
      </c>
      <c r="G92" s="35">
        <v>2</v>
      </c>
      <c r="H92" s="36">
        <v>150.69</v>
      </c>
      <c r="I92" s="30">
        <v>0.25</v>
      </c>
      <c r="J92" s="16">
        <f t="shared" si="25"/>
        <v>188.36</v>
      </c>
      <c r="K92" s="17">
        <f t="shared" si="26"/>
        <v>376.72</v>
      </c>
      <c r="L92" s="18"/>
    </row>
    <row r="93" spans="2:14" ht="89.25" x14ac:dyDescent="0.2">
      <c r="B93" s="47" t="s">
        <v>176</v>
      </c>
      <c r="C93" s="29" t="s">
        <v>14</v>
      </c>
      <c r="D93" s="32">
        <v>91792</v>
      </c>
      <c r="E93" s="33" t="s">
        <v>172</v>
      </c>
      <c r="F93" s="34" t="s">
        <v>23</v>
      </c>
      <c r="G93" s="35">
        <v>2</v>
      </c>
      <c r="H93" s="36">
        <v>63.59</v>
      </c>
      <c r="I93" s="30">
        <v>0.25</v>
      </c>
      <c r="J93" s="16">
        <f t="shared" si="25"/>
        <v>79.489999999999995</v>
      </c>
      <c r="K93" s="17">
        <f t="shared" si="26"/>
        <v>158.97999999999999</v>
      </c>
      <c r="L93" s="18"/>
    </row>
    <row r="94" spans="2:14" ht="25.5" x14ac:dyDescent="0.2">
      <c r="B94" s="47" t="s">
        <v>193</v>
      </c>
      <c r="C94" s="29" t="s">
        <v>194</v>
      </c>
      <c r="D94" s="32" t="s">
        <v>195</v>
      </c>
      <c r="E94" s="33" t="s">
        <v>196</v>
      </c>
      <c r="F94" s="34" t="s">
        <v>143</v>
      </c>
      <c r="G94" s="35">
        <v>2</v>
      </c>
      <c r="H94" s="36">
        <v>152.69999999999999</v>
      </c>
      <c r="I94" s="30">
        <v>0.25</v>
      </c>
      <c r="J94" s="16">
        <f t="shared" ref="J94" si="31">ROUND((H94+H94*I94),2)</f>
        <v>190.88</v>
      </c>
      <c r="K94" s="17">
        <f t="shared" ref="K94" si="32">ROUND(J94*G94,2)</f>
        <v>381.76</v>
      </c>
      <c r="L94" s="18"/>
    </row>
    <row r="95" spans="2:14" x14ac:dyDescent="0.2">
      <c r="B95" s="13" t="s">
        <v>177</v>
      </c>
      <c r="C95" s="14"/>
      <c r="D95" s="14"/>
      <c r="E95" s="20" t="s">
        <v>54</v>
      </c>
      <c r="F95" s="21"/>
      <c r="G95" s="21"/>
      <c r="H95" s="21"/>
      <c r="I95" s="21"/>
      <c r="J95" s="21"/>
      <c r="K95" s="15">
        <f>SUM(K96:K97)</f>
        <v>335.1</v>
      </c>
      <c r="L95" s="18"/>
    </row>
    <row r="96" spans="2:14" ht="63.75" x14ac:dyDescent="0.2">
      <c r="B96" s="47" t="s">
        <v>178</v>
      </c>
      <c r="C96" s="29" t="s">
        <v>14</v>
      </c>
      <c r="D96" s="29">
        <v>87879</v>
      </c>
      <c r="E96" s="28" t="s">
        <v>56</v>
      </c>
      <c r="F96" s="11" t="s">
        <v>33</v>
      </c>
      <c r="G96" s="35">
        <f t="shared" ref="G96:G97" si="33">ROUND(2.5*1.5*2,2)</f>
        <v>7.5</v>
      </c>
      <c r="H96" s="16">
        <v>3.82</v>
      </c>
      <c r="I96" s="30">
        <v>0.25</v>
      </c>
      <c r="J96" s="16">
        <f t="shared" si="23"/>
        <v>4.78</v>
      </c>
      <c r="K96" s="17">
        <f t="shared" si="24"/>
        <v>35.85</v>
      </c>
      <c r="L96" s="18"/>
    </row>
    <row r="97" spans="2:12" ht="102" x14ac:dyDescent="0.2">
      <c r="B97" s="47" t="s">
        <v>179</v>
      </c>
      <c r="C97" s="29" t="s">
        <v>14</v>
      </c>
      <c r="D97" s="29">
        <v>89173</v>
      </c>
      <c r="E97" s="28" t="s">
        <v>59</v>
      </c>
      <c r="F97" s="11" t="s">
        <v>33</v>
      </c>
      <c r="G97" s="35">
        <f t="shared" si="33"/>
        <v>7.5</v>
      </c>
      <c r="H97" s="16">
        <v>31.92</v>
      </c>
      <c r="I97" s="30">
        <v>0.25</v>
      </c>
      <c r="J97" s="16">
        <f t="shared" si="23"/>
        <v>39.9</v>
      </c>
      <c r="K97" s="17">
        <f t="shared" si="24"/>
        <v>299.25</v>
      </c>
      <c r="L97" s="18"/>
    </row>
    <row r="98" spans="2:12" x14ac:dyDescent="0.2">
      <c r="B98" s="13" t="s">
        <v>180</v>
      </c>
      <c r="C98" s="14"/>
      <c r="D98" s="14"/>
      <c r="E98" s="20" t="s">
        <v>139</v>
      </c>
      <c r="F98" s="21"/>
      <c r="G98" s="21"/>
      <c r="H98" s="21"/>
      <c r="I98" s="21"/>
      <c r="J98" s="21"/>
      <c r="K98" s="15">
        <f>SUM(K99:K101)</f>
        <v>2529.1800000000003</v>
      </c>
      <c r="L98" s="18"/>
    </row>
    <row r="99" spans="2:12" ht="89.25" x14ac:dyDescent="0.2">
      <c r="B99" s="47" t="s">
        <v>183</v>
      </c>
      <c r="C99" s="29" t="s">
        <v>14</v>
      </c>
      <c r="D99" s="32">
        <v>100678</v>
      </c>
      <c r="E99" s="33" t="s">
        <v>181</v>
      </c>
      <c r="F99" s="34" t="s">
        <v>143</v>
      </c>
      <c r="G99" s="35">
        <v>1</v>
      </c>
      <c r="H99" s="36">
        <v>924.61</v>
      </c>
      <c r="I99" s="30">
        <v>0.25</v>
      </c>
      <c r="J99" s="16">
        <f t="shared" ref="J99:J141" si="34">ROUND((H99+H99*I99),2)</f>
        <v>1155.76</v>
      </c>
      <c r="K99" s="17">
        <f t="shared" ref="K99:K141" si="35">ROUND(J99*G99,2)</f>
        <v>1155.76</v>
      </c>
      <c r="L99" s="18"/>
    </row>
    <row r="100" spans="2:12" ht="89.25" x14ac:dyDescent="0.2">
      <c r="B100" s="47" t="s">
        <v>184</v>
      </c>
      <c r="C100" s="29" t="s">
        <v>14</v>
      </c>
      <c r="D100" s="32">
        <v>100680</v>
      </c>
      <c r="E100" s="33" t="s">
        <v>182</v>
      </c>
      <c r="F100" s="34" t="s">
        <v>143</v>
      </c>
      <c r="G100" s="35">
        <v>1</v>
      </c>
      <c r="H100" s="36">
        <v>933.6</v>
      </c>
      <c r="I100" s="30">
        <v>0.25</v>
      </c>
      <c r="J100" s="16">
        <f t="shared" si="34"/>
        <v>1167</v>
      </c>
      <c r="K100" s="17">
        <f t="shared" si="35"/>
        <v>1167</v>
      </c>
      <c r="L100" s="18"/>
    </row>
    <row r="101" spans="2:12" ht="38.25" x14ac:dyDescent="0.2">
      <c r="B101" s="47" t="s">
        <v>213</v>
      </c>
      <c r="C101" s="32" t="s">
        <v>14</v>
      </c>
      <c r="D101" s="32">
        <v>102228</v>
      </c>
      <c r="E101" s="33" t="s">
        <v>144</v>
      </c>
      <c r="F101" s="34" t="s">
        <v>33</v>
      </c>
      <c r="G101" s="35">
        <f>ROUND(1.7*2.1*2,2)</f>
        <v>7.14</v>
      </c>
      <c r="H101" s="36">
        <v>23.13</v>
      </c>
      <c r="I101" s="30">
        <v>0.25</v>
      </c>
      <c r="J101" s="16">
        <f t="shared" si="34"/>
        <v>28.91</v>
      </c>
      <c r="K101" s="17">
        <f t="shared" si="35"/>
        <v>206.42</v>
      </c>
      <c r="L101" s="18"/>
    </row>
    <row r="102" spans="2:12" x14ac:dyDescent="0.2">
      <c r="B102" s="13" t="s">
        <v>185</v>
      </c>
      <c r="C102" s="14"/>
      <c r="D102" s="14"/>
      <c r="E102" s="20" t="s">
        <v>186</v>
      </c>
      <c r="F102" s="21"/>
      <c r="G102" s="21"/>
      <c r="H102" s="21"/>
      <c r="I102" s="21"/>
      <c r="J102" s="21"/>
      <c r="K102" s="15">
        <f>SUM(K103:K104)</f>
        <v>1817.52</v>
      </c>
      <c r="L102" s="18"/>
    </row>
    <row r="103" spans="2:12" ht="89.25" x14ac:dyDescent="0.2">
      <c r="B103" s="47" t="s">
        <v>187</v>
      </c>
      <c r="C103" s="32" t="s">
        <v>14</v>
      </c>
      <c r="D103" s="32">
        <v>93396</v>
      </c>
      <c r="E103" s="33" t="s">
        <v>188</v>
      </c>
      <c r="F103" s="34" t="s">
        <v>143</v>
      </c>
      <c r="G103" s="35">
        <v>2</v>
      </c>
      <c r="H103" s="36">
        <v>686.8</v>
      </c>
      <c r="I103" s="30">
        <v>0.25</v>
      </c>
      <c r="J103" s="16">
        <f t="shared" si="34"/>
        <v>858.5</v>
      </c>
      <c r="K103" s="17">
        <f t="shared" si="35"/>
        <v>1717</v>
      </c>
      <c r="L103" s="18"/>
    </row>
    <row r="104" spans="2:12" ht="25.5" x14ac:dyDescent="0.2">
      <c r="B104" s="47" t="s">
        <v>226</v>
      </c>
      <c r="C104" s="32" t="s">
        <v>14</v>
      </c>
      <c r="D104" s="32">
        <v>100849</v>
      </c>
      <c r="E104" s="33" t="s">
        <v>225</v>
      </c>
      <c r="F104" s="34" t="s">
        <v>143</v>
      </c>
      <c r="G104" s="35">
        <v>2</v>
      </c>
      <c r="H104" s="36">
        <v>40.21</v>
      </c>
      <c r="I104" s="30">
        <v>0.25</v>
      </c>
      <c r="J104" s="16">
        <f t="shared" ref="J104" si="36">ROUND((H104+H104*I104),2)</f>
        <v>50.26</v>
      </c>
      <c r="K104" s="17">
        <f t="shared" ref="K104" si="37">ROUND(J104*G104,2)</f>
        <v>100.52</v>
      </c>
      <c r="L104" s="18"/>
    </row>
    <row r="105" spans="2:12" x14ac:dyDescent="0.2">
      <c r="B105" s="13" t="s">
        <v>189</v>
      </c>
      <c r="C105" s="14"/>
      <c r="D105" s="14"/>
      <c r="E105" s="20" t="s">
        <v>190</v>
      </c>
      <c r="F105" s="21"/>
      <c r="G105" s="21"/>
      <c r="H105" s="21"/>
      <c r="I105" s="21"/>
      <c r="J105" s="21"/>
      <c r="K105" s="15">
        <f>SUM(K106)</f>
        <v>2931.26</v>
      </c>
      <c r="L105" s="18"/>
    </row>
    <row r="106" spans="2:12" ht="38.25" x14ac:dyDescent="0.2">
      <c r="B106" s="47" t="s">
        <v>191</v>
      </c>
      <c r="C106" s="32" t="s">
        <v>14</v>
      </c>
      <c r="D106" s="32">
        <v>102494</v>
      </c>
      <c r="E106" s="33" t="s">
        <v>192</v>
      </c>
      <c r="F106" s="34" t="s">
        <v>33</v>
      </c>
      <c r="G106" s="35">
        <v>44.8</v>
      </c>
      <c r="H106" s="36">
        <v>52.34</v>
      </c>
      <c r="I106" s="30">
        <v>0.25</v>
      </c>
      <c r="J106" s="16">
        <f t="shared" si="34"/>
        <v>65.430000000000007</v>
      </c>
      <c r="K106" s="17">
        <f t="shared" si="35"/>
        <v>2931.26</v>
      </c>
      <c r="L106" s="18"/>
    </row>
    <row r="107" spans="2:12" x14ac:dyDescent="0.2">
      <c r="B107" s="38" t="s">
        <v>197</v>
      </c>
      <c r="C107" s="39"/>
      <c r="D107" s="39"/>
      <c r="E107" s="44" t="s">
        <v>198</v>
      </c>
      <c r="F107" s="41"/>
      <c r="G107" s="41"/>
      <c r="H107" s="41"/>
      <c r="I107" s="41"/>
      <c r="J107" s="41"/>
      <c r="K107" s="42">
        <f>K108+K112</f>
        <v>6865.78</v>
      </c>
    </row>
    <row r="108" spans="2:12" x14ac:dyDescent="0.2">
      <c r="B108" s="13" t="s">
        <v>199</v>
      </c>
      <c r="C108" s="14"/>
      <c r="D108" s="14"/>
      <c r="E108" s="20" t="s">
        <v>113</v>
      </c>
      <c r="F108" s="21"/>
      <c r="G108" s="21"/>
      <c r="H108" s="21"/>
      <c r="I108" s="21"/>
      <c r="J108" s="21"/>
      <c r="K108" s="15">
        <f>SUM(K109:K111)</f>
        <v>5390.36</v>
      </c>
      <c r="L108" s="18"/>
    </row>
    <row r="109" spans="2:12" ht="63.75" x14ac:dyDescent="0.2">
      <c r="B109" s="47" t="s">
        <v>200</v>
      </c>
      <c r="C109" s="32" t="s">
        <v>14</v>
      </c>
      <c r="D109" s="32">
        <v>87257</v>
      </c>
      <c r="E109" s="33" t="s">
        <v>112</v>
      </c>
      <c r="F109" s="34" t="s">
        <v>33</v>
      </c>
      <c r="G109" s="35">
        <f>ROUND(6.1*8,2)</f>
        <v>48.8</v>
      </c>
      <c r="H109" s="36">
        <v>78.58</v>
      </c>
      <c r="I109" s="30">
        <v>0.25</v>
      </c>
      <c r="J109" s="16">
        <f t="shared" ref="J109:J111" si="38">ROUND((H109+H109*I109),2)</f>
        <v>98.23</v>
      </c>
      <c r="K109" s="17">
        <f t="shared" ref="K109:K111" si="39">ROUND(J109*G109,2)</f>
        <v>4793.62</v>
      </c>
      <c r="L109" s="18"/>
    </row>
    <row r="110" spans="2:12" ht="38.25" x14ac:dyDescent="0.2">
      <c r="B110" s="47" t="s">
        <v>201</v>
      </c>
      <c r="C110" s="32" t="s">
        <v>14</v>
      </c>
      <c r="D110" s="32">
        <v>88650</v>
      </c>
      <c r="E110" s="33" t="s">
        <v>123</v>
      </c>
      <c r="F110" s="34" t="s">
        <v>23</v>
      </c>
      <c r="G110" s="35">
        <f>6.1+7.2+6.1+8</f>
        <v>27.4</v>
      </c>
      <c r="H110" s="36">
        <v>14.31</v>
      </c>
      <c r="I110" s="30">
        <v>0.25</v>
      </c>
      <c r="J110" s="16">
        <f t="shared" si="38"/>
        <v>17.89</v>
      </c>
      <c r="K110" s="17">
        <f t="shared" si="39"/>
        <v>490.19</v>
      </c>
      <c r="L110" s="18"/>
    </row>
    <row r="111" spans="2:12" ht="25.5" x14ac:dyDescent="0.2">
      <c r="B111" s="47" t="s">
        <v>202</v>
      </c>
      <c r="C111" s="32" t="s">
        <v>14</v>
      </c>
      <c r="D111" s="32">
        <v>98689</v>
      </c>
      <c r="E111" s="33" t="s">
        <v>135</v>
      </c>
      <c r="F111" s="34" t="s">
        <v>23</v>
      </c>
      <c r="G111" s="35">
        <v>0.8</v>
      </c>
      <c r="H111" s="36">
        <v>106.55</v>
      </c>
      <c r="I111" s="30">
        <v>0.25</v>
      </c>
      <c r="J111" s="16">
        <f t="shared" si="38"/>
        <v>133.19</v>
      </c>
      <c r="K111" s="17">
        <f t="shared" si="39"/>
        <v>106.55</v>
      </c>
      <c r="L111" s="18"/>
    </row>
    <row r="112" spans="2:12" x14ac:dyDescent="0.2">
      <c r="B112" s="13" t="s">
        <v>203</v>
      </c>
      <c r="C112" s="14"/>
      <c r="D112" s="14"/>
      <c r="E112" s="20" t="s">
        <v>139</v>
      </c>
      <c r="F112" s="21"/>
      <c r="G112" s="21"/>
      <c r="H112" s="21"/>
      <c r="I112" s="21"/>
      <c r="J112" s="21"/>
      <c r="K112" s="15">
        <f>SUM(K113:K115)</f>
        <v>1475.4199999999998</v>
      </c>
      <c r="L112" s="18"/>
    </row>
    <row r="113" spans="2:12" ht="38.25" x14ac:dyDescent="0.2">
      <c r="B113" s="47" t="s">
        <v>204</v>
      </c>
      <c r="C113" s="29" t="s">
        <v>14</v>
      </c>
      <c r="D113" s="32">
        <v>97644</v>
      </c>
      <c r="E113" s="33" t="s">
        <v>148</v>
      </c>
      <c r="F113" s="34" t="s">
        <v>33</v>
      </c>
      <c r="G113" s="35">
        <v>2.1</v>
      </c>
      <c r="H113" s="36">
        <v>9.3699999999999992</v>
      </c>
      <c r="I113" s="30">
        <v>0.25</v>
      </c>
      <c r="J113" s="16">
        <f t="shared" ref="J113" si="40">ROUND((H113+H113*I113),2)</f>
        <v>11.71</v>
      </c>
      <c r="K113" s="17">
        <f t="shared" ref="K113" si="41">ROUND(J113*G113,2)</f>
        <v>24.59</v>
      </c>
      <c r="L113" s="18"/>
    </row>
    <row r="114" spans="2:12" ht="89.25" x14ac:dyDescent="0.2">
      <c r="B114" s="47" t="s">
        <v>205</v>
      </c>
      <c r="C114" s="32" t="s">
        <v>14</v>
      </c>
      <c r="D114" s="32">
        <v>90843</v>
      </c>
      <c r="E114" s="33" t="s">
        <v>142</v>
      </c>
      <c r="F114" s="34" t="s">
        <v>143</v>
      </c>
      <c r="G114" s="35">
        <v>1</v>
      </c>
      <c r="H114" s="36">
        <v>966.39</v>
      </c>
      <c r="I114" s="30">
        <v>0.25</v>
      </c>
      <c r="J114" s="16">
        <f t="shared" si="34"/>
        <v>1207.99</v>
      </c>
      <c r="K114" s="17">
        <f t="shared" si="35"/>
        <v>1207.99</v>
      </c>
      <c r="L114" s="18"/>
    </row>
    <row r="115" spans="2:12" ht="38.25" x14ac:dyDescent="0.2">
      <c r="B115" s="47" t="s">
        <v>211</v>
      </c>
      <c r="C115" s="32" t="s">
        <v>14</v>
      </c>
      <c r="D115" s="32">
        <v>102228</v>
      </c>
      <c r="E115" s="33" t="s">
        <v>144</v>
      </c>
      <c r="F115" s="34" t="s">
        <v>33</v>
      </c>
      <c r="G115" s="35">
        <v>8.4</v>
      </c>
      <c r="H115" s="36">
        <v>23.13</v>
      </c>
      <c r="I115" s="30">
        <v>0.25</v>
      </c>
      <c r="J115" s="16">
        <f t="shared" si="34"/>
        <v>28.91</v>
      </c>
      <c r="K115" s="17">
        <f t="shared" si="35"/>
        <v>242.84</v>
      </c>
      <c r="L115" s="18"/>
    </row>
    <row r="116" spans="2:12" x14ac:dyDescent="0.2">
      <c r="B116" s="38" t="s">
        <v>206</v>
      </c>
      <c r="C116" s="39"/>
      <c r="D116" s="39"/>
      <c r="E116" s="44" t="s">
        <v>207</v>
      </c>
      <c r="F116" s="41"/>
      <c r="G116" s="41"/>
      <c r="H116" s="41"/>
      <c r="I116" s="41"/>
      <c r="J116" s="41"/>
      <c r="K116" s="42">
        <f>K117</f>
        <v>1277.49</v>
      </c>
    </row>
    <row r="117" spans="2:12" x14ac:dyDescent="0.2">
      <c r="B117" s="13" t="s">
        <v>208</v>
      </c>
      <c r="C117" s="14"/>
      <c r="D117" s="14"/>
      <c r="E117" s="20" t="s">
        <v>139</v>
      </c>
      <c r="F117" s="21"/>
      <c r="G117" s="21"/>
      <c r="H117" s="21"/>
      <c r="I117" s="21"/>
      <c r="J117" s="21"/>
      <c r="K117" s="15">
        <f>SUM(K118:K120)</f>
        <v>1277.49</v>
      </c>
      <c r="L117" s="18"/>
    </row>
    <row r="118" spans="2:12" ht="38.25" x14ac:dyDescent="0.2">
      <c r="B118" s="47" t="s">
        <v>209</v>
      </c>
      <c r="C118" s="29" t="s">
        <v>14</v>
      </c>
      <c r="D118" s="32">
        <v>97644</v>
      </c>
      <c r="E118" s="33" t="s">
        <v>148</v>
      </c>
      <c r="F118" s="34" t="s">
        <v>33</v>
      </c>
      <c r="G118" s="35">
        <v>2.1</v>
      </c>
      <c r="H118" s="36">
        <v>9.3699999999999992</v>
      </c>
      <c r="I118" s="30">
        <v>0.25</v>
      </c>
      <c r="J118" s="16">
        <f t="shared" ref="J118:J120" si="42">ROUND((H118+H118*I118),2)</f>
        <v>11.71</v>
      </c>
      <c r="K118" s="17">
        <f t="shared" ref="K118:K120" si="43">ROUND(J118*G118,2)</f>
        <v>24.59</v>
      </c>
      <c r="L118" s="18"/>
    </row>
    <row r="119" spans="2:12" ht="89.25" x14ac:dyDescent="0.2">
      <c r="B119" s="47" t="s">
        <v>210</v>
      </c>
      <c r="C119" s="32" t="s">
        <v>14</v>
      </c>
      <c r="D119" s="32">
        <v>100678</v>
      </c>
      <c r="E119" s="33" t="s">
        <v>181</v>
      </c>
      <c r="F119" s="34" t="s">
        <v>143</v>
      </c>
      <c r="G119" s="35">
        <v>1</v>
      </c>
      <c r="H119" s="36">
        <v>924.61</v>
      </c>
      <c r="I119" s="30">
        <v>0.25</v>
      </c>
      <c r="J119" s="16">
        <f t="shared" si="42"/>
        <v>1155.76</v>
      </c>
      <c r="K119" s="17">
        <f t="shared" si="43"/>
        <v>1155.76</v>
      </c>
      <c r="L119" s="18"/>
    </row>
    <row r="120" spans="2:12" ht="38.25" x14ac:dyDescent="0.2">
      <c r="B120" s="47" t="s">
        <v>212</v>
      </c>
      <c r="C120" s="32" t="s">
        <v>14</v>
      </c>
      <c r="D120" s="32">
        <v>102228</v>
      </c>
      <c r="E120" s="33" t="s">
        <v>144</v>
      </c>
      <c r="F120" s="34" t="s">
        <v>33</v>
      </c>
      <c r="G120" s="35">
        <f>ROUND(0.8*2.1*2,2)</f>
        <v>3.36</v>
      </c>
      <c r="H120" s="36">
        <v>23.13</v>
      </c>
      <c r="I120" s="30">
        <v>0.25</v>
      </c>
      <c r="J120" s="16">
        <f t="shared" si="42"/>
        <v>28.91</v>
      </c>
      <c r="K120" s="17">
        <f t="shared" si="43"/>
        <v>97.14</v>
      </c>
      <c r="L120" s="18"/>
    </row>
    <row r="121" spans="2:12" x14ac:dyDescent="0.2">
      <c r="B121" s="38" t="s">
        <v>214</v>
      </c>
      <c r="C121" s="39"/>
      <c r="D121" s="39"/>
      <c r="E121" s="44" t="s">
        <v>216</v>
      </c>
      <c r="F121" s="41"/>
      <c r="G121" s="41"/>
      <c r="H121" s="41"/>
      <c r="I121" s="41"/>
      <c r="J121" s="41"/>
      <c r="K121" s="42">
        <f>K122+K127</f>
        <v>2869.76</v>
      </c>
    </row>
    <row r="122" spans="2:12" x14ac:dyDescent="0.2">
      <c r="B122" s="13" t="s">
        <v>215</v>
      </c>
      <c r="C122" s="14"/>
      <c r="D122" s="14"/>
      <c r="E122" s="20" t="s">
        <v>139</v>
      </c>
      <c r="F122" s="21"/>
      <c r="G122" s="21"/>
      <c r="H122" s="21"/>
      <c r="I122" s="21"/>
      <c r="J122" s="21"/>
      <c r="K122" s="15">
        <f>SUM(K123:K126)</f>
        <v>2578.36</v>
      </c>
      <c r="L122" s="18"/>
    </row>
    <row r="123" spans="2:12" ht="38.25" x14ac:dyDescent="0.2">
      <c r="B123" s="47" t="s">
        <v>217</v>
      </c>
      <c r="C123" s="29" t="s">
        <v>14</v>
      </c>
      <c r="D123" s="32">
        <v>97644</v>
      </c>
      <c r="E123" s="33" t="s">
        <v>148</v>
      </c>
      <c r="F123" s="34" t="s">
        <v>33</v>
      </c>
      <c r="G123" s="35">
        <v>4.2</v>
      </c>
      <c r="H123" s="36">
        <v>9.3699999999999992</v>
      </c>
      <c r="I123" s="30">
        <v>0.25</v>
      </c>
      <c r="J123" s="16">
        <f t="shared" ref="J123:J126" si="44">ROUND((H123+H123*I123),2)</f>
        <v>11.71</v>
      </c>
      <c r="K123" s="17">
        <f t="shared" ref="K123:K126" si="45">ROUND(J123*G123,2)</f>
        <v>49.18</v>
      </c>
      <c r="L123" s="18"/>
    </row>
    <row r="124" spans="2:12" ht="89.25" x14ac:dyDescent="0.2">
      <c r="B124" s="47" t="s">
        <v>218</v>
      </c>
      <c r="C124" s="29" t="s">
        <v>14</v>
      </c>
      <c r="D124" s="32">
        <v>100680</v>
      </c>
      <c r="E124" s="33" t="s">
        <v>182</v>
      </c>
      <c r="F124" s="34" t="s">
        <v>143</v>
      </c>
      <c r="G124" s="35">
        <v>1</v>
      </c>
      <c r="H124" s="36">
        <v>933.6</v>
      </c>
      <c r="I124" s="30">
        <v>0.25</v>
      </c>
      <c r="J124" s="16">
        <f t="shared" ref="J124" si="46">ROUND((H124+H124*I124),2)</f>
        <v>1167</v>
      </c>
      <c r="K124" s="17">
        <f t="shared" ref="K124" si="47">ROUND(J124*G124,2)</f>
        <v>1167</v>
      </c>
      <c r="L124" s="18"/>
    </row>
    <row r="125" spans="2:12" ht="89.25" x14ac:dyDescent="0.2">
      <c r="B125" s="47" t="s">
        <v>219</v>
      </c>
      <c r="C125" s="32" t="s">
        <v>14</v>
      </c>
      <c r="D125" s="32">
        <v>100678</v>
      </c>
      <c r="E125" s="33" t="s">
        <v>181</v>
      </c>
      <c r="F125" s="34" t="s">
        <v>143</v>
      </c>
      <c r="G125" s="35">
        <v>1</v>
      </c>
      <c r="H125" s="36">
        <v>924.61</v>
      </c>
      <c r="I125" s="30">
        <v>0.25</v>
      </c>
      <c r="J125" s="16">
        <f t="shared" si="44"/>
        <v>1155.76</v>
      </c>
      <c r="K125" s="17">
        <f t="shared" si="45"/>
        <v>1155.76</v>
      </c>
      <c r="L125" s="18"/>
    </row>
    <row r="126" spans="2:12" ht="38.25" x14ac:dyDescent="0.2">
      <c r="B126" s="47" t="s">
        <v>220</v>
      </c>
      <c r="C126" s="32" t="s">
        <v>14</v>
      </c>
      <c r="D126" s="32">
        <v>102228</v>
      </c>
      <c r="E126" s="33" t="s">
        <v>144</v>
      </c>
      <c r="F126" s="34" t="s">
        <v>33</v>
      </c>
      <c r="G126" s="35">
        <f>ROUND(1.7*2.1*2,2)</f>
        <v>7.14</v>
      </c>
      <c r="H126" s="36">
        <v>23.13</v>
      </c>
      <c r="I126" s="30">
        <v>0.25</v>
      </c>
      <c r="J126" s="16">
        <f t="shared" si="44"/>
        <v>28.91</v>
      </c>
      <c r="K126" s="17">
        <f t="shared" si="45"/>
        <v>206.42</v>
      </c>
      <c r="L126" s="18"/>
    </row>
    <row r="127" spans="2:12" x14ac:dyDescent="0.2">
      <c r="B127" s="13" t="s">
        <v>222</v>
      </c>
      <c r="C127" s="14"/>
      <c r="D127" s="14"/>
      <c r="E127" s="20" t="s">
        <v>221</v>
      </c>
      <c r="F127" s="21"/>
      <c r="G127" s="21"/>
      <c r="H127" s="21"/>
      <c r="I127" s="21"/>
      <c r="J127" s="21"/>
      <c r="K127" s="15">
        <f>SUM(K128:K129)</f>
        <v>291.39999999999998</v>
      </c>
      <c r="L127" s="18"/>
    </row>
    <row r="128" spans="2:12" ht="25.5" x14ac:dyDescent="0.2">
      <c r="B128" s="47" t="s">
        <v>223</v>
      </c>
      <c r="C128" s="29" t="s">
        <v>194</v>
      </c>
      <c r="D128" s="32" t="s">
        <v>195</v>
      </c>
      <c r="E128" s="33" t="s">
        <v>196</v>
      </c>
      <c r="F128" s="34" t="s">
        <v>143</v>
      </c>
      <c r="G128" s="35">
        <v>1</v>
      </c>
      <c r="H128" s="36">
        <v>152.69999999999999</v>
      </c>
      <c r="I128" s="30">
        <v>0.25</v>
      </c>
      <c r="J128" s="16">
        <f t="shared" si="34"/>
        <v>190.88</v>
      </c>
      <c r="K128" s="17">
        <f t="shared" si="35"/>
        <v>190.88</v>
      </c>
      <c r="L128" s="18"/>
    </row>
    <row r="129" spans="2:14" ht="25.5" x14ac:dyDescent="0.2">
      <c r="B129" s="47" t="s">
        <v>224</v>
      </c>
      <c r="C129" s="32" t="s">
        <v>14</v>
      </c>
      <c r="D129" s="32">
        <v>100849</v>
      </c>
      <c r="E129" s="33" t="s">
        <v>225</v>
      </c>
      <c r="F129" s="34" t="s">
        <v>143</v>
      </c>
      <c r="G129" s="35">
        <v>2</v>
      </c>
      <c r="H129" s="36">
        <v>40.21</v>
      </c>
      <c r="I129" s="30">
        <v>0.25</v>
      </c>
      <c r="J129" s="16">
        <f t="shared" si="34"/>
        <v>50.26</v>
      </c>
      <c r="K129" s="17">
        <f t="shared" si="35"/>
        <v>100.52</v>
      </c>
      <c r="L129" s="18"/>
    </row>
    <row r="130" spans="2:14" x14ac:dyDescent="0.2">
      <c r="B130" s="38" t="s">
        <v>228</v>
      </c>
      <c r="C130" s="39"/>
      <c r="D130" s="39"/>
      <c r="E130" s="44" t="s">
        <v>227</v>
      </c>
      <c r="F130" s="41"/>
      <c r="G130" s="41"/>
      <c r="H130" s="41"/>
      <c r="I130" s="41"/>
      <c r="J130" s="41"/>
      <c r="K130" s="42">
        <f>K131+K133</f>
        <v>2785.77</v>
      </c>
    </row>
    <row r="131" spans="2:14" x14ac:dyDescent="0.2">
      <c r="B131" s="13" t="s">
        <v>229</v>
      </c>
      <c r="C131" s="14"/>
      <c r="D131" s="14"/>
      <c r="E131" s="20" t="s">
        <v>190</v>
      </c>
      <c r="F131" s="21"/>
      <c r="G131" s="21"/>
      <c r="H131" s="21"/>
      <c r="I131" s="21"/>
      <c r="J131" s="21"/>
      <c r="K131" s="15">
        <f>SUM(K132)</f>
        <v>2685.25</v>
      </c>
      <c r="L131" s="18"/>
    </row>
    <row r="132" spans="2:14" ht="38.25" x14ac:dyDescent="0.2">
      <c r="B132" s="47" t="s">
        <v>230</v>
      </c>
      <c r="C132" s="32" t="s">
        <v>14</v>
      </c>
      <c r="D132" s="32">
        <v>102494</v>
      </c>
      <c r="E132" s="33" t="s">
        <v>192</v>
      </c>
      <c r="F132" s="34" t="s">
        <v>33</v>
      </c>
      <c r="G132" s="35">
        <f>33.04+8</f>
        <v>41.04</v>
      </c>
      <c r="H132" s="36">
        <v>52.34</v>
      </c>
      <c r="I132" s="30">
        <v>0.25</v>
      </c>
      <c r="J132" s="16">
        <f t="shared" ref="J132" si="48">ROUND((H132+H132*I132),2)</f>
        <v>65.430000000000007</v>
      </c>
      <c r="K132" s="17">
        <f t="shared" ref="K132" si="49">ROUND(J132*G132,2)</f>
        <v>2685.25</v>
      </c>
      <c r="L132" s="18"/>
    </row>
    <row r="133" spans="2:14" x14ac:dyDescent="0.2">
      <c r="B133" s="13" t="s">
        <v>231</v>
      </c>
      <c r="C133" s="14"/>
      <c r="D133" s="14"/>
      <c r="E133" s="20" t="s">
        <v>221</v>
      </c>
      <c r="F133" s="21"/>
      <c r="G133" s="21"/>
      <c r="H133" s="21"/>
      <c r="I133" s="21"/>
      <c r="J133" s="21"/>
      <c r="K133" s="15">
        <f>SUM(K134:K134)</f>
        <v>100.52</v>
      </c>
      <c r="L133" s="18"/>
    </row>
    <row r="134" spans="2:14" ht="25.5" x14ac:dyDescent="0.2">
      <c r="B134" s="47" t="s">
        <v>232</v>
      </c>
      <c r="C134" s="32" t="s">
        <v>14</v>
      </c>
      <c r="D134" s="32">
        <v>100849</v>
      </c>
      <c r="E134" s="33" t="s">
        <v>225</v>
      </c>
      <c r="F134" s="34" t="s">
        <v>143</v>
      </c>
      <c r="G134" s="35">
        <v>2</v>
      </c>
      <c r="H134" s="36">
        <v>40.21</v>
      </c>
      <c r="I134" s="30">
        <v>0.25</v>
      </c>
      <c r="J134" s="16">
        <f t="shared" ref="J134" si="50">ROUND((H134+H134*I134),2)</f>
        <v>50.26</v>
      </c>
      <c r="K134" s="17">
        <f t="shared" ref="K134" si="51">ROUND(J134*G134,2)</f>
        <v>100.52</v>
      </c>
      <c r="L134" s="18"/>
    </row>
    <row r="135" spans="2:14" x14ac:dyDescent="0.2">
      <c r="B135" s="38" t="s">
        <v>233</v>
      </c>
      <c r="C135" s="39"/>
      <c r="D135" s="39"/>
      <c r="E135" s="44" t="s">
        <v>235</v>
      </c>
      <c r="F135" s="41"/>
      <c r="G135" s="41"/>
      <c r="H135" s="41"/>
      <c r="I135" s="41"/>
      <c r="J135" s="41"/>
      <c r="K135" s="42">
        <f>K136+K138+K140</f>
        <v>4152.54</v>
      </c>
    </row>
    <row r="136" spans="2:14" x14ac:dyDescent="0.2">
      <c r="B136" s="13" t="s">
        <v>234</v>
      </c>
      <c r="C136" s="14"/>
      <c r="D136" s="14"/>
      <c r="E136" s="20" t="s">
        <v>15</v>
      </c>
      <c r="F136" s="21"/>
      <c r="G136" s="21"/>
      <c r="H136" s="21"/>
      <c r="I136" s="21"/>
      <c r="J136" s="21"/>
      <c r="K136" s="15">
        <f>SUM(K137)</f>
        <v>39.35</v>
      </c>
      <c r="L136" s="18"/>
    </row>
    <row r="137" spans="2:14" ht="38.25" x14ac:dyDescent="0.2">
      <c r="B137" s="47" t="s">
        <v>234</v>
      </c>
      <c r="C137" s="29" t="s">
        <v>14</v>
      </c>
      <c r="D137" s="32">
        <v>97644</v>
      </c>
      <c r="E137" s="33" t="s">
        <v>148</v>
      </c>
      <c r="F137" s="34" t="s">
        <v>33</v>
      </c>
      <c r="G137" s="35">
        <f>ROUND(1.6*2.1,2)</f>
        <v>3.36</v>
      </c>
      <c r="H137" s="36">
        <v>9.3699999999999992</v>
      </c>
      <c r="I137" s="30">
        <v>0.25</v>
      </c>
      <c r="J137" s="16">
        <f t="shared" ref="J137" si="52">ROUND((H137+H137*I137),2)</f>
        <v>11.71</v>
      </c>
      <c r="K137" s="17">
        <f t="shared" ref="K137" si="53">ROUND(J137*G137,2)</f>
        <v>39.35</v>
      </c>
      <c r="L137" s="18"/>
    </row>
    <row r="138" spans="2:14" x14ac:dyDescent="0.2">
      <c r="B138" s="13" t="s">
        <v>236</v>
      </c>
      <c r="C138" s="14"/>
      <c r="D138" s="14"/>
      <c r="E138" s="20" t="s">
        <v>133</v>
      </c>
      <c r="F138" s="21"/>
      <c r="G138" s="21"/>
      <c r="H138" s="21"/>
      <c r="I138" s="21"/>
      <c r="J138" s="21"/>
      <c r="K138" s="15">
        <f>SUM(K139)</f>
        <v>639.30999999999995</v>
      </c>
      <c r="L138" s="18"/>
    </row>
    <row r="139" spans="2:14" ht="25.5" x14ac:dyDescent="0.2">
      <c r="B139" s="47" t="s">
        <v>237</v>
      </c>
      <c r="C139" s="32" t="s">
        <v>14</v>
      </c>
      <c r="D139" s="32">
        <v>98689</v>
      </c>
      <c r="E139" s="33" t="s">
        <v>135</v>
      </c>
      <c r="F139" s="34" t="s">
        <v>23</v>
      </c>
      <c r="G139" s="35">
        <v>4.8</v>
      </c>
      <c r="H139" s="36">
        <v>106.55</v>
      </c>
      <c r="I139" s="30">
        <v>0.25</v>
      </c>
      <c r="J139" s="16">
        <f t="shared" ref="J139" si="54">ROUND((H139+H139*I139),2)</f>
        <v>133.19</v>
      </c>
      <c r="K139" s="17">
        <f t="shared" ref="K139" si="55">ROUND(J139*G139,2)</f>
        <v>639.30999999999995</v>
      </c>
      <c r="L139" s="18"/>
    </row>
    <row r="140" spans="2:14" x14ac:dyDescent="0.2">
      <c r="B140" s="13" t="s">
        <v>238</v>
      </c>
      <c r="C140" s="14"/>
      <c r="D140" s="14"/>
      <c r="E140" s="20" t="s">
        <v>139</v>
      </c>
      <c r="F140" s="21"/>
      <c r="G140" s="21"/>
      <c r="H140" s="21"/>
      <c r="I140" s="21"/>
      <c r="J140" s="21"/>
      <c r="K140" s="15">
        <f>SUM(K141)</f>
        <v>3473.88</v>
      </c>
      <c r="L140" s="18"/>
    </row>
    <row r="141" spans="2:14" ht="38.25" x14ac:dyDescent="0.2">
      <c r="B141" s="47" t="s">
        <v>239</v>
      </c>
      <c r="C141" s="32" t="s">
        <v>146</v>
      </c>
      <c r="D141" s="32" t="s">
        <v>240</v>
      </c>
      <c r="E141" s="33" t="s">
        <v>241</v>
      </c>
      <c r="F141" s="34" t="s">
        <v>143</v>
      </c>
      <c r="G141" s="35">
        <v>1</v>
      </c>
      <c r="H141" s="36">
        <v>2779.1</v>
      </c>
      <c r="I141" s="30">
        <v>0.25</v>
      </c>
      <c r="J141" s="16">
        <f t="shared" si="34"/>
        <v>3473.88</v>
      </c>
      <c r="K141" s="17">
        <f t="shared" si="35"/>
        <v>3473.88</v>
      </c>
      <c r="L141" s="18"/>
      <c r="N141" s="43"/>
    </row>
    <row r="142" spans="2:14" ht="13.5" thickBot="1" x14ac:dyDescent="0.25">
      <c r="B142" s="52" t="s">
        <v>10</v>
      </c>
      <c r="C142" s="53"/>
      <c r="D142" s="53"/>
      <c r="E142" s="53"/>
      <c r="F142" s="53"/>
      <c r="G142" s="53"/>
      <c r="H142" s="53"/>
      <c r="I142" s="53"/>
      <c r="J142" s="53"/>
      <c r="K142" s="19">
        <f>K5+K32+K35+K41+K46+K57+K71+K86+K107+K116+K121+K130+K135</f>
        <v>81047.59</v>
      </c>
    </row>
    <row r="145" spans="11:11" ht="15" x14ac:dyDescent="0.2">
      <c r="K145" s="31"/>
    </row>
    <row r="146" spans="11:11" ht="15" x14ac:dyDescent="0.2">
      <c r="K146" s="31"/>
    </row>
    <row r="147" spans="11:11" ht="15" x14ac:dyDescent="0.2">
      <c r="K147" s="37"/>
    </row>
  </sheetData>
  <mergeCells count="2">
    <mergeCell ref="B2:K2"/>
    <mergeCell ref="B142:J142"/>
  </mergeCells>
  <conditionalFormatting sqref="E6">
    <cfRule type="expression" dxfId="79" priority="85" stopIfTrue="1">
      <formula>$C6=1</formula>
    </cfRule>
    <cfRule type="expression" dxfId="78" priority="86" stopIfTrue="1">
      <formula>OR($C6=0,$C6=2,$C6=3,$C6=4)</formula>
    </cfRule>
  </conditionalFormatting>
  <conditionalFormatting sqref="E10">
    <cfRule type="expression" dxfId="77" priority="81" stopIfTrue="1">
      <formula>$C10=1</formula>
    </cfRule>
    <cfRule type="expression" dxfId="76" priority="82" stopIfTrue="1">
      <formula>OR($C10=0,$C10=2,$C10=3,$C10=4)</formula>
    </cfRule>
  </conditionalFormatting>
  <conditionalFormatting sqref="E12">
    <cfRule type="expression" dxfId="75" priority="79" stopIfTrue="1">
      <formula>$C12=1</formula>
    </cfRule>
    <cfRule type="expression" dxfId="74" priority="80" stopIfTrue="1">
      <formula>OR($C12=0,$C12=2,$C12=3,$C12=4)</formula>
    </cfRule>
  </conditionalFormatting>
  <conditionalFormatting sqref="E17">
    <cfRule type="expression" dxfId="73" priority="77" stopIfTrue="1">
      <formula>$C17=1</formula>
    </cfRule>
    <cfRule type="expression" dxfId="72" priority="78" stopIfTrue="1">
      <formula>OR($C17=0,$C17=2,$C17=3,$C17=4)</formula>
    </cfRule>
  </conditionalFormatting>
  <conditionalFormatting sqref="E22">
    <cfRule type="expression" dxfId="71" priority="75" stopIfTrue="1">
      <formula>$C22=1</formula>
    </cfRule>
    <cfRule type="expression" dxfId="70" priority="76" stopIfTrue="1">
      <formula>OR($C22=0,$C22=2,$C22=3,$C22=4)</formula>
    </cfRule>
  </conditionalFormatting>
  <conditionalFormatting sqref="E24">
    <cfRule type="expression" dxfId="69" priority="73" stopIfTrue="1">
      <formula>$C24=1</formula>
    </cfRule>
    <cfRule type="expression" dxfId="68" priority="74" stopIfTrue="1">
      <formula>OR($C24=0,$C24=2,$C24=3,$C24=4)</formula>
    </cfRule>
  </conditionalFormatting>
  <conditionalFormatting sqref="E29">
    <cfRule type="expression" dxfId="67" priority="71" stopIfTrue="1">
      <formula>$C29=1</formula>
    </cfRule>
    <cfRule type="expression" dxfId="66" priority="72" stopIfTrue="1">
      <formula>OR($C29=0,$C29=2,$C29=3,$C29=4)</formula>
    </cfRule>
  </conditionalFormatting>
  <conditionalFormatting sqref="E36">
    <cfRule type="expression" dxfId="65" priority="61" stopIfTrue="1">
      <formula>$C36=1</formula>
    </cfRule>
    <cfRule type="expression" dxfId="64" priority="62" stopIfTrue="1">
      <formula>OR($C36=0,$C36=2,$C36=3,$C36=4)</formula>
    </cfRule>
  </conditionalFormatting>
  <conditionalFormatting sqref="E5">
    <cfRule type="expression" dxfId="63" priority="67" stopIfTrue="1">
      <formula>$C5=1</formula>
    </cfRule>
    <cfRule type="expression" dxfId="62" priority="68" stopIfTrue="1">
      <formula>OR($C5=0,$C5=2,$C5=3,$C5=4)</formula>
    </cfRule>
  </conditionalFormatting>
  <conditionalFormatting sqref="E33">
    <cfRule type="expression" dxfId="61" priority="63" stopIfTrue="1">
      <formula>$C33=1</formula>
    </cfRule>
    <cfRule type="expression" dxfId="60" priority="64" stopIfTrue="1">
      <formula>OR($C33=0,$C33=2,$C33=3,$C33=4)</formula>
    </cfRule>
  </conditionalFormatting>
  <conditionalFormatting sqref="E42">
    <cfRule type="expression" dxfId="59" priority="59" stopIfTrue="1">
      <formula>$C42=1</formula>
    </cfRule>
    <cfRule type="expression" dxfId="58" priority="60" stopIfTrue="1">
      <formula>OR($C42=0,$C42=2,$C42=3,$C42=4)</formula>
    </cfRule>
  </conditionalFormatting>
  <conditionalFormatting sqref="E47">
    <cfRule type="expression" dxfId="57" priority="57" stopIfTrue="1">
      <formula>$C47=1</formula>
    </cfRule>
    <cfRule type="expression" dxfId="56" priority="58" stopIfTrue="1">
      <formula>OR($C47=0,$C47=2,$C47=3,$C47=4)</formula>
    </cfRule>
  </conditionalFormatting>
  <conditionalFormatting sqref="E49">
    <cfRule type="expression" dxfId="55" priority="55" stopIfTrue="1">
      <formula>$C49=1</formula>
    </cfRule>
    <cfRule type="expression" dxfId="54" priority="56" stopIfTrue="1">
      <formula>OR($C49=0,$C49=2,$C49=3,$C49=4)</formula>
    </cfRule>
  </conditionalFormatting>
  <conditionalFormatting sqref="E55">
    <cfRule type="expression" dxfId="53" priority="53" stopIfTrue="1">
      <formula>$C55=1</formula>
    </cfRule>
    <cfRule type="expression" dxfId="52" priority="54" stopIfTrue="1">
      <formula>OR($C55=0,$C55=2,$C55=3,$C55=4)</formula>
    </cfRule>
  </conditionalFormatting>
  <conditionalFormatting sqref="E58">
    <cfRule type="expression" dxfId="51" priority="51" stopIfTrue="1">
      <formula>$C58=1</formula>
    </cfRule>
    <cfRule type="expression" dxfId="50" priority="52" stopIfTrue="1">
      <formula>OR($C58=0,$C58=2,$C58=3,$C58=4)</formula>
    </cfRule>
  </conditionalFormatting>
  <conditionalFormatting sqref="E61">
    <cfRule type="expression" dxfId="49" priority="49" stopIfTrue="1">
      <formula>$C61=1</formula>
    </cfRule>
    <cfRule type="expression" dxfId="48" priority="50" stopIfTrue="1">
      <formula>OR($C61=0,$C61=2,$C61=3,$C61=4)</formula>
    </cfRule>
  </conditionalFormatting>
  <conditionalFormatting sqref="E64">
    <cfRule type="expression" dxfId="47" priority="47" stopIfTrue="1">
      <formula>$C64=1</formula>
    </cfRule>
    <cfRule type="expression" dxfId="46" priority="48" stopIfTrue="1">
      <formula>OR($C64=0,$C64=2,$C64=3,$C64=4)</formula>
    </cfRule>
  </conditionalFormatting>
  <conditionalFormatting sqref="E66">
    <cfRule type="expression" dxfId="45" priority="45" stopIfTrue="1">
      <formula>$C66=1</formula>
    </cfRule>
    <cfRule type="expression" dxfId="44" priority="46" stopIfTrue="1">
      <formula>OR($C66=0,$C66=2,$C66=3,$C66=4)</formula>
    </cfRule>
  </conditionalFormatting>
  <conditionalFormatting sqref="E68">
    <cfRule type="expression" dxfId="43" priority="43" stopIfTrue="1">
      <formula>$C68=1</formula>
    </cfRule>
    <cfRule type="expression" dxfId="42" priority="44" stopIfTrue="1">
      <formula>OR($C68=0,$C68=2,$C68=3,$C68=4)</formula>
    </cfRule>
  </conditionalFormatting>
  <conditionalFormatting sqref="E72">
    <cfRule type="expression" dxfId="41" priority="41" stopIfTrue="1">
      <formula>$C72=1</formula>
    </cfRule>
    <cfRule type="expression" dxfId="40" priority="42" stopIfTrue="1">
      <formula>OR($C72=0,$C72=2,$C72=3,$C72=4)</formula>
    </cfRule>
  </conditionalFormatting>
  <conditionalFormatting sqref="E75">
    <cfRule type="expression" dxfId="39" priority="39" stopIfTrue="1">
      <formula>$C75=1</formula>
    </cfRule>
    <cfRule type="expression" dxfId="38" priority="40" stopIfTrue="1">
      <formula>OR($C75=0,$C75=2,$C75=3,$C75=4)</formula>
    </cfRule>
  </conditionalFormatting>
  <conditionalFormatting sqref="E79">
    <cfRule type="expression" dxfId="37" priority="37" stopIfTrue="1">
      <formula>$C79=1</formula>
    </cfRule>
    <cfRule type="expression" dxfId="36" priority="38" stopIfTrue="1">
      <formula>OR($C79=0,$C79=2,$C79=3,$C79=4)</formula>
    </cfRule>
  </conditionalFormatting>
  <conditionalFormatting sqref="E81">
    <cfRule type="expression" dxfId="35" priority="35" stopIfTrue="1">
      <formula>$C81=1</formula>
    </cfRule>
    <cfRule type="expression" dxfId="34" priority="36" stopIfTrue="1">
      <formula>OR($C81=0,$C81=2,$C81=3,$C81=4)</formula>
    </cfRule>
  </conditionalFormatting>
  <conditionalFormatting sqref="E84">
    <cfRule type="expression" dxfId="33" priority="33" stopIfTrue="1">
      <formula>$C84=1</formula>
    </cfRule>
    <cfRule type="expression" dxfId="32" priority="34" stopIfTrue="1">
      <formula>OR($C84=0,$C84=2,$C84=3,$C84=4)</formula>
    </cfRule>
  </conditionalFormatting>
  <conditionalFormatting sqref="E87">
    <cfRule type="expression" dxfId="31" priority="31" stopIfTrue="1">
      <formula>$C87=1</formula>
    </cfRule>
    <cfRule type="expression" dxfId="30" priority="32" stopIfTrue="1">
      <formula>OR($C87=0,$C87=2,$C87=3,$C87=4)</formula>
    </cfRule>
  </conditionalFormatting>
  <conditionalFormatting sqref="E95">
    <cfRule type="expression" dxfId="29" priority="29" stopIfTrue="1">
      <formula>$C95=1</formula>
    </cfRule>
    <cfRule type="expression" dxfId="28" priority="30" stopIfTrue="1">
      <formula>OR($C95=0,$C95=2,$C95=3,$C95=4)</formula>
    </cfRule>
  </conditionalFormatting>
  <conditionalFormatting sqref="E91">
    <cfRule type="expression" dxfId="27" priority="27" stopIfTrue="1">
      <formula>$C91=1</formula>
    </cfRule>
    <cfRule type="expression" dxfId="26" priority="28" stopIfTrue="1">
      <formula>OR($C91=0,$C91=2,$C91=3,$C91=4)</formula>
    </cfRule>
  </conditionalFormatting>
  <conditionalFormatting sqref="E98">
    <cfRule type="expression" dxfId="25" priority="25" stopIfTrue="1">
      <formula>$C98=1</formula>
    </cfRule>
    <cfRule type="expression" dxfId="24" priority="26" stopIfTrue="1">
      <formula>OR($C98=0,$C98=2,$C98=3,$C98=4)</formula>
    </cfRule>
  </conditionalFormatting>
  <conditionalFormatting sqref="E102">
    <cfRule type="expression" dxfId="23" priority="23" stopIfTrue="1">
      <formula>$C102=1</formula>
    </cfRule>
    <cfRule type="expression" dxfId="22" priority="24" stopIfTrue="1">
      <formula>OR($C102=0,$C102=2,$C102=3,$C102=4)</formula>
    </cfRule>
  </conditionalFormatting>
  <conditionalFormatting sqref="E105">
    <cfRule type="expression" dxfId="21" priority="21" stopIfTrue="1">
      <formula>$C105=1</formula>
    </cfRule>
    <cfRule type="expression" dxfId="20" priority="22" stopIfTrue="1">
      <formula>OR($C105=0,$C105=2,$C105=3,$C105=4)</formula>
    </cfRule>
  </conditionalFormatting>
  <conditionalFormatting sqref="E108">
    <cfRule type="expression" dxfId="19" priority="19" stopIfTrue="1">
      <formula>$C108=1</formula>
    </cfRule>
    <cfRule type="expression" dxfId="18" priority="20" stopIfTrue="1">
      <formula>OR($C108=0,$C108=2,$C108=3,$C108=4)</formula>
    </cfRule>
  </conditionalFormatting>
  <conditionalFormatting sqref="E112">
    <cfRule type="expression" dxfId="17" priority="17" stopIfTrue="1">
      <formula>$C112=1</formula>
    </cfRule>
    <cfRule type="expression" dxfId="16" priority="18" stopIfTrue="1">
      <formula>OR($C112=0,$C112=2,$C112=3,$C112=4)</formula>
    </cfRule>
  </conditionalFormatting>
  <conditionalFormatting sqref="E117">
    <cfRule type="expression" dxfId="15" priority="15" stopIfTrue="1">
      <formula>$C117=1</formula>
    </cfRule>
    <cfRule type="expression" dxfId="14" priority="16" stopIfTrue="1">
      <formula>OR($C117=0,$C117=2,$C117=3,$C117=4)</formula>
    </cfRule>
  </conditionalFormatting>
  <conditionalFormatting sqref="E122">
    <cfRule type="expression" dxfId="13" priority="13" stopIfTrue="1">
      <formula>$C122=1</formula>
    </cfRule>
    <cfRule type="expression" dxfId="12" priority="14" stopIfTrue="1">
      <formula>OR($C122=0,$C122=2,$C122=3,$C122=4)</formula>
    </cfRule>
  </conditionalFormatting>
  <conditionalFormatting sqref="E127">
    <cfRule type="expression" dxfId="11" priority="11" stopIfTrue="1">
      <formula>$C127=1</formula>
    </cfRule>
    <cfRule type="expression" dxfId="10" priority="12" stopIfTrue="1">
      <formula>OR($C127=0,$C127=2,$C127=3,$C127=4)</formula>
    </cfRule>
  </conditionalFormatting>
  <conditionalFormatting sqref="E131">
    <cfRule type="expression" dxfId="9" priority="9" stopIfTrue="1">
      <formula>$C131=1</formula>
    </cfRule>
    <cfRule type="expression" dxfId="8" priority="10" stopIfTrue="1">
      <formula>OR($C131=0,$C131=2,$C131=3,$C131=4)</formula>
    </cfRule>
  </conditionalFormatting>
  <conditionalFormatting sqref="E133">
    <cfRule type="expression" dxfId="7" priority="7" stopIfTrue="1">
      <formula>$C133=1</formula>
    </cfRule>
    <cfRule type="expression" dxfId="6" priority="8" stopIfTrue="1">
      <formula>OR($C133=0,$C133=2,$C133=3,$C133=4)</formula>
    </cfRule>
  </conditionalFormatting>
  <conditionalFormatting sqref="E136">
    <cfRule type="expression" dxfId="5" priority="5" stopIfTrue="1">
      <formula>$C136=1</formula>
    </cfRule>
    <cfRule type="expression" dxfId="4" priority="6" stopIfTrue="1">
      <formula>OR($C136=0,$C136=2,$C136=3,$C136=4)</formula>
    </cfRule>
  </conditionalFormatting>
  <conditionalFormatting sqref="E138">
    <cfRule type="expression" dxfId="3" priority="3" stopIfTrue="1">
      <formula>$C138=1</formula>
    </cfRule>
    <cfRule type="expression" dxfId="2" priority="4" stopIfTrue="1">
      <formula>OR($C138=0,$C138=2,$C138=3,$C138=4)</formula>
    </cfRule>
  </conditionalFormatting>
  <conditionalFormatting sqref="E140">
    <cfRule type="expression" dxfId="1" priority="1" stopIfTrue="1">
      <formula>$C140=1</formula>
    </cfRule>
    <cfRule type="expression" dxfId="0" priority="2" stopIfTrue="1">
      <formula>OR($C140=0,$C140=2,$C140=3,$C140=4)</formula>
    </cfRule>
  </conditionalFormatting>
  <pageMargins left="0.25" right="0.25" top="0.75" bottom="0.75" header="0.3" footer="0.3"/>
  <pageSetup paperSize="9" scale="71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ORÇAMENTO PORTÃO</vt:lpstr>
      <vt:lpstr>'ORÇAMENTO PORTÃO'!Titulos_de_impressao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ORÃ⁄AMENTO ESTÃ†DIO_14-01-2019.xls</dc:title>
  <dc:creator>engen</dc:creator>
  <cp:lastModifiedBy>Eng</cp:lastModifiedBy>
  <cp:lastPrinted>2021-12-21T18:01:26Z</cp:lastPrinted>
  <dcterms:created xsi:type="dcterms:W3CDTF">2019-02-14T14:29:45Z</dcterms:created>
  <dcterms:modified xsi:type="dcterms:W3CDTF">2021-12-21T18:01:35Z</dcterms:modified>
</cp:coreProperties>
</file>